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<sst xmlns="http://schemas.openxmlformats.org/spreadsheetml/2006/main" count="4976" uniqueCount="3026">
  <si>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</si>
  <si>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</si>
  <si>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</si>
  <si>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</si>
  <si>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</si>
  <si>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</si>
  <si>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</si>
  <si>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</si>
  <si>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</si>
  <si>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</si>
  <si>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</si>
  <si>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</si>
  <si>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</si>
  <si>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</si>
  <si>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</si>
  <si>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</si>
  <si>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</si>
  <si>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</si>
  <si>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</si>
  <si>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</si>
  <si>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</si>
  <si>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</si>
  <si>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</si>
  <si>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</si>
  <si>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</si>
  <si>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</si>
  <si>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</si>
  <si>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</si>
  <si>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</si>
  <si>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</si>
  <si>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</si>
  <si>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</si>
  <si>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</si>
  <si>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</si>
  <si>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</si>
  <si>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</si>
  <si>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</si>
  <si>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</si>
  <si>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</si>
  <si>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</si>
  <si>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</si>
  <si>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</si>
  <si>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</si>
  <si>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</si>
  <si>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</si>
  <si>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</si>
  <si>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</si>
  <si>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</si>
  <si>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</si>
  <si>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</si>
  <si>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</si>
  <si>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</si>
  <si>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</si>
  <si>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</si>
  <si>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</si>
  <si>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</si>
  <si>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</si>
  <si>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</si>
  <si>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</si>
  <si>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</si>
  <si>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</si>
  <si>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</si>
  <si>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</si>
  <si>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</si>
  <si>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</si>
  <si>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</si>
  <si>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</si>
  <si>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</si>
  <si>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</si>
  <si>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</si>
  <si>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</si>
  <si>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</si>
  <si>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</si>
  <si>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</si>
  <si>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</si>
  <si>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</si>
  <si>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</si>
  <si>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</si>
  <si>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</si>
  <si>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</si>
  <si>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</si>
  <si>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</si>
  <si>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</si>
  <si>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</si>
  <si>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</si>
  <si>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</si>
  <si>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</si>
  <si>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</si>
  <si>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</si>
  <si>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</si>
  <si>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</si>
  <si>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</si>
  <si>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</si>
  <si>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</si>
  <si>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</si>
  <si>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</si>
  <si>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</si>
  <si>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</si>
  <si>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</si>
  <si>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</si>
  <si>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</si>
  <si>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</si>
  <si>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</si>
  <si>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</si>
  <si>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</si>
  <si>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</si>
  <si>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</si>
  <si>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</si>
  <si>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</si>
  <si>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</si>
  <si>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</si>
  <si>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</si>
  <si>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</si>
  <si>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</si>
  <si>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</si>
  <si>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</si>
  <si>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</si>
  <si>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</si>
  <si>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</si>
  <si>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</si>
  <si>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</si>
  <si>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</si>
  <si>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</si>
  <si>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</si>
  <si>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</si>
  <si>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</si>
  <si>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</si>
  <si>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</si>
  <si>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</si>
  <si>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</si>
  <si>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</si>
  <si>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</si>
  <si>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</si>
  <si>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</si>
  <si>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</si>
  <si>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</si>
  <si>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</si>
  <si>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</si>
  <si>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</si>
  <si>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</si>
  <si>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</si>
  <si>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</si>
  <si>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</si>
  <si>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</si>
  <si>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</si>
  <si>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</si>
  <si>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</si>
  <si>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</si>
  <si>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</si>
  <si>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</si>
  <si>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</si>
  <si>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</si>
  <si>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</si>
  <si>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</si>
  <si>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</si>
  <si>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</si>
  <si>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</si>
  <si>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</si>
  <si>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</si>
  <si>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</si>
  <si>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</si>
  <si>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</si>
  <si>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</si>
  <si>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</si>
  <si>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</si>
  <si>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</si>
  <si>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</si>
  <si>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</si>
  <si>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</si>
  <si>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</si>
  <si>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</si>
  <si>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</si>
  <si>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</si>
  <si>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</si>
  <si>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</si>
  <si>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</si>
  <si>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</si>
  <si>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</si>
  <si>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</si>
  <si>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</si>
  <si>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</si>
  <si>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</si>
  <si>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</si>
  <si>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</si>
  <si>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</si>
  <si>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</si>
  <si>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</si>
  <si>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</si>
  <si>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</si>
  <si>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</si>
  <si>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</si>
  <si>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</si>
  <si>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</si>
  <si>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</si>
  <si>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</si>
  <si>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</si>
  <si>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</si>
  <si>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</si>
  <si>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</si>
  <si>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</si>
  <si>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</si>
  <si>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</si>
  <si>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</si>
  <si>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</si>
  <si>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</si>
  <si>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</si>
  <si>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</si>
  <si>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</si>
  <si>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</si>
  <si>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</si>
  <si>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</si>
  <si>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</si>
  <si>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</si>
  <si>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</si>
  <si>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</si>
  <si>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</si>
  <si>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</si>
  <si>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</si>
  <si>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</si>
  <si>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</si>
  <si>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</si>
  <si>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</si>
  <si>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</si>
  <si>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</si>
  <si>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</si>
  <si>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</si>
  <si>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</si>
  <si>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</si>
  <si>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</si>
  <si>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</si>
  <si>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</si>
  <si>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</si>
  <si>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</si>
  <si>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</si>
  <si>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</si>
  <si>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</si>
  <si>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</si>
  <si>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</si>
  <si>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</si>
  <si>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</si>
  <si>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</si>
  <si>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</si>
  <si>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</si>
  <si>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</si>
  <si>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</si>
  <si>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</si>
  <si>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</si>
  <si>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</si>
  <si>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</si>
  <si>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</si>
  <si>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</si>
  <si>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</si>
  <si>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</si>
  <si>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</si>
  <si>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</si>
  <si>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</si>
  <si>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</si>
  <si>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</si>
  <si>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</si>
  <si>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</si>
  <si>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</si>
  <si>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</si>
  <si>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</si>
  <si>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</si>
  <si>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</si>
  <si>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</si>
  <si>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</si>
  <si>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</si>
  <si>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</si>
  <si>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</si>
  <si>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</si>
  <si>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</si>
  <si>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</si>
  <si>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</si>
  <si>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</si>
  <si>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</si>
  <si>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</si>
  <si>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</si>
  <si>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</si>
  <si>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</si>
  <si>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</si>
  <si>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</si>
  <si>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</si>
  <si>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</si>
  <si>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</si>
  <si>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</si>
  <si>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</si>
  <si>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</si>
  <si>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</si>
  <si>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</si>
  <si>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</si>
  <si>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</si>
  <si>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</si>
  <si>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</si>
  <si>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</si>
  <si>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</si>
  <si>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</si>
  <si>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</si>
  <si>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</si>
  <si>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</si>
  <si>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</si>
  <si>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</si>
  <si>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</si>
  <si>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</si>
  <si>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</si>
  <si>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</si>
  <si>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</si>
  <si>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</si>
  <si>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</si>
  <si>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</si>
  <si>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</si>
  <si>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</si>
  <si>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</si>
  <si>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</si>
  <si>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</si>
  <si>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</si>
  <si>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</si>
  <si>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</si>
  <si>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</si>
  <si>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</si>
  <si>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</si>
  <si>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</si>
  <si>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</si>
  <si>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</si>
  <si>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</si>
  <si>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</si>
  <si>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</si>
  <si>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</si>
  <si>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</si>
  <si>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</si>
  <si>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</si>
  <si>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</si>
  <si>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</si>
  <si>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</si>
  <si>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</si>
  <si>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</si>
  <si>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</si>
  <si>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</si>
  <si>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</si>
  <si>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</si>
  <si>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</si>
  <si>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</si>
  <si>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</si>
  <si>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</si>
  <si>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</si>
  <si>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</si>
  <si>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</si>
  <si>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</si>
  <si>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</si>
  <si>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</si>
  <si>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</si>
  <si>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</si>
  <si>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</si>
  <si>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</si>
  <si>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</si>
  <si>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</si>
  <si>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</si>
  <si>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</si>
  <si>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</si>
  <si>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</si>
  <si>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</si>
  <si>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</si>
  <si>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</si>
  <si>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</si>
  <si>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</si>
  <si>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</si>
  <si>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</si>
  <si>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</si>
  <si>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</si>
  <si>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</si>
  <si>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</si>
  <si>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</si>
  <si>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</si>
  <si>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</si>
  <si>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</si>
  <si>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</si>
  <si>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</si>
  <si>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</si>
  <si>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</si>
  <si>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</si>
  <si>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</si>
  <si>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</si>
  <si>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</si>
  <si>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</si>
  <si>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</si>
  <si>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</si>
  <si>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</si>
  <si>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</si>
  <si>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</si>
  <si>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</si>
  <si>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</si>
  <si>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</si>
  <si>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</si>
  <si>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</si>
  <si>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</si>
  <si>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</si>
  <si>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</si>
  <si>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</si>
  <si>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</si>
  <si>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</si>
  <si>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</si>
  <si>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</si>
  <si>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</si>
  <si>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</si>
  <si>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</si>
  <si>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</si>
  <si>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</si>
  <si>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</si>
  <si>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</si>
  <si>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</si>
  <si>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</si>
  <si>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</si>
  <si>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</si>
  <si>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</si>
  <si>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</si>
  <si>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</si>
  <si>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</si>
  <si>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</si>
  <si>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</si>
  <si>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</si>
  <si>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</si>
  <si>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</si>
  <si>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</si>
  <si>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</si>
  <si>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</si>
  <si>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</si>
  <si>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</si>
  <si>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</si>
  <si>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</si>
  <si>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</si>
  <si>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</si>
  <si>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</si>
  <si>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</si>
  <si>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</si>
  <si>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</si>
  <si>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</si>
  <si>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</si>
  <si>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</si>
  <si>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</si>
  <si>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</si>
  <si>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</si>
  <si>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</si>
  <si>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</si>
  <si>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</si>
  <si>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</si>
  <si>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</si>
  <si>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</si>
  <si>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</si>
  <si>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</si>
  <si>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</si>
  <si>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</si>
  <si>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</si>
  <si>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</si>
  <si>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</si>
  <si>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</si>
  <si>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</si>
  <si>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</si>
  <si>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</si>
  <si>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</si>
  <si>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</si>
  <si>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</si>
  <si>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</si>
  <si>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</si>
  <si>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</si>
  <si>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</si>
  <si>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</si>
  <si>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</si>
  <si>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</si>
  <si>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</si>
  <si>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</si>
  <si>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</si>
  <si>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</si>
  <si>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</si>
  <si>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</si>
  <si>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</si>
  <si>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</si>
  <si>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</si>
  <si>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</si>
  <si>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</si>
  <si>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</si>
  <si>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</si>
  <si>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</si>
  <si>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</si>
  <si>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</si>
  <si>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</si>
  <si>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</si>
  <si>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</si>
  <si>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</si>
  <si>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</si>
  <si>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</si>
  <si>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</si>
  <si>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</si>
  <si>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</si>
  <si>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</si>
  <si>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</si>
  <si>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</si>
  <si>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</si>
  <si>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</si>
  <si>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</si>
  <si>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</si>
  <si>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</si>
  <si>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</si>
  <si>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</si>
  <si>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</si>
  <si>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</si>
  <si>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</si>
  <si>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</si>
  <si>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</si>
  <si>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</si>
  <si>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</si>
  <si>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</si>
  <si>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</si>
  <si>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</si>
  <si>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</si>
  <si>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</si>
  <si>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</si>
  <si>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</si>
  <si>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</si>
  <si>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</si>
  <si>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</si>
  <si>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</si>
  <si>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</si>
  <si>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</si>
  <si>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</si>
  <si>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</si>
  <si>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</si>
  <si>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</si>
  <si>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</si>
  <si>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</si>
  <si>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</si>
  <si>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</si>
  <si>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</si>
  <si>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</si>
  <si>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</si>
  <si>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</si>
  <si>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</si>
  <si>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</si>
  <si>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</si>
  <si>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</si>
  <si>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</si>
  <si>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</si>
  <si>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</si>
  <si>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</si>
  <si>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</si>
  <si>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</si>
  <si>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</si>
  <si>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</si>
  <si>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</si>
  <si>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</si>
  <si>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</si>
  <si>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</si>
  <si>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</si>
  <si>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</si>
  <si>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</si>
  <si>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</si>
  <si>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</si>
  <si>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</si>
  <si>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</si>
  <si>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</si>
  <si>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</si>
  <si>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</si>
  <si>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</si>
  <si>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</si>
  <si>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</si>
  <si>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</si>
  <si>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</si>
  <si>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</si>
  <si>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</si>
  <si>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</si>
  <si>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</si>
  <si>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</si>
  <si>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</si>
  <si>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</si>
  <si>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</si>
  <si>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</si>
  <si>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</si>
  <si>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</si>
  <si>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</si>
  <si>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</si>
  <si>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</si>
  <si>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</si>
  <si>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</si>
  <si>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</si>
  <si>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</si>
  <si>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</si>
  <si>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</si>
  <si>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</si>
  <si>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</si>
  <si>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</si>
  <si>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</si>
  <si>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</si>
  <si>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</si>
  <si>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</si>
  <si>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</si>
  <si>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</si>
  <si>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</si>
  <si>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</si>
  <si>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</si>
  <si>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</si>
  <si>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</si>
  <si>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</si>
  <si>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</si>
  <si>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</si>
  <si>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</si>
  <si>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</si>
  <si>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</si>
  <si>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</si>
  <si>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</si>
  <si>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</si>
  <si>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</si>
  <si>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</si>
  <si>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</si>
  <si>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</si>
  <si>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</si>
  <si>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</si>
  <si>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</si>
  <si>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</si>
  <si>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</si>
  <si>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</si>
  <si>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</si>
  <si>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</si>
  <si>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</si>
  <si>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</si>
  <si>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</si>
  <si>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</si>
  <si>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</si>
  <si>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</si>
  <si>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</si>
  <si>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</si>
  <si>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</si>
  <si>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</si>
  <si>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</si>
  <si>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</si>
  <si>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</si>
  <si>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</si>
  <si>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</si>
  <si>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</si>
  <si>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</si>
  <si>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</si>
  <si>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</si>
  <si>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</si>
  <si>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</si>
  <si>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</si>
  <si>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</si>
  <si>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</si>
  <si>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</si>
  <si>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</si>
  <si>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</si>
  <si>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</si>
  <si>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</si>
  <si>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</si>
  <si>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</si>
  <si>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</si>
  <si>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</si>
  <si>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</si>
  <si>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</si>
  <si>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</si>
  <si>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</si>
  <si>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</si>
  <si>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</si>
  <si>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</si>
  <si>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</si>
  <si>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</si>
  <si>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</si>
  <si>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</si>
  <si>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</si>
  <si>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</si>
  <si>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</si>
  <si>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</si>
  <si>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</si>
  <si>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</si>
  <si>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</si>
  <si>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</si>
  <si>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</si>
  <si>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</si>
  <si>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</si>
  <si>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</si>
  <si>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</si>
  <si>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</si>
  <si>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</si>
  <si>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</si>
  <si>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</si>
  <si>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</si>
  <si>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</si>
  <si>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</si>
  <si>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</si>
  <si>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</si>
  <si>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</si>
  <si>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</si>
  <si>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</si>
  <si>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</si>
  <si>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</si>
  <si>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</si>
  <si>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</si>
  <si>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</si>
  <si>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</si>
  <si>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</si>
  <si>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</si>
  <si>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</si>
  <si>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</si>
  <si>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</si>
  <si>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</si>
  <si>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</si>
  <si>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</si>
  <si>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</si>
  <si>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</si>
  <si>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</si>
  <si>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</si>
  <si>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</si>
  <si>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</si>
  <si>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</si>
  <si>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</si>
  <si>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</si>
  <si>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</si>
  <si>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</si>
  <si>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</si>
  <si>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</si>
  <si>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</si>
  <si>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</si>
  <si>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</si>
  <si>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</si>
  <si>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</si>
  <si>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</si>
  <si>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</si>
  <si>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</si>
  <si>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</si>
  <si>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</si>
  <si>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</si>
  <si>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</si>
  <si>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</si>
  <si>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</si>
  <si>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</si>
  <si>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</si>
  <si>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</si>
  <si>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</si>
  <si>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</si>
  <si>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</si>
  <si>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</si>
  <si>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</si>
  <si>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</si>
  <si>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</si>
  <si>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</si>
  <si>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</si>
  <si>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</si>
  <si>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</si>
  <si>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</si>
  <si>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</si>
  <si>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</si>
  <si>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</si>
  <si>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</si>
  <si>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</si>
  <si>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</si>
  <si>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</si>
  <si>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</si>
  <si>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</si>
  <si>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</si>
  <si>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</si>
  <si>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</si>
  <si>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</si>
  <si>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</si>
  <si>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</si>
  <si>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</si>
  <si>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</si>
  <si>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</si>
  <si>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</si>
  <si>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</si>
  <si>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</si>
  <si>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</si>
  <si>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</si>
  <si>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</si>
  <si>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</si>
  <si>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</si>
  <si>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</si>
  <si>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</si>
  <si>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</si>
  <si>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</si>
  <si>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</si>
  <si>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</si>
  <si>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</si>
  <si>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</si>
  <si>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</si>
  <si>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</si>
  <si>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</si>
  <si>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</si>
  <si>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</si>
  <si>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</si>
  <si>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</si>
  <si>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</si>
  <si>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</si>
  <si>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</si>
  <si>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</si>
  <si>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</si>
  <si>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</si>
  <si>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</si>
  <si>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</si>
  <si>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</si>
  <si>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</si>
  <si>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</si>
  <si>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</si>
  <si>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</si>
  <si>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</si>
  <si>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</si>
  <si>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</si>
  <si>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</si>
  <si>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</si>
  <si>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</si>
  <si>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</si>
  <si>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</si>
  <si>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</si>
  <si>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</si>
  <si>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</si>
  <si>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</si>
  <si>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</si>
  <si>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</si>
  <si>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</si>
  <si>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</si>
  <si>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</si>
  <si>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</si>
  <si>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</si>
  <si>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</si>
  <si>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</si>
  <si>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</si>
  <si>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</si>
  <si>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</si>
  <si>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</si>
  <si>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</si>
  <si>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</si>
  <si>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</si>
  <si>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</si>
  <si>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</si>
  <si>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</si>
  <si>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</si>
  <si>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</si>
  <si>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</si>
  <si>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</si>
  <si>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</si>
  <si>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</si>
  <si>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</si>
  <si>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</si>
  <si>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</si>
  <si>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</si>
  <si>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</si>
  <si>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</si>
  <si>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</si>
  <si>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</si>
  <si>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</si>
  <si>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</si>
  <si>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</si>
  <si>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</si>
  <si>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</si>
  <si>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</si>
  <si>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</si>
  <si>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</si>
  <si>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</si>
  <si>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</si>
  <si>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</si>
  <si>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</si>
  <si>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</si>
  <si>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</si>
  <si>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</si>
  <si>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</si>
  <si>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</si>
  <si>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</si>
  <si>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</si>
  <si>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</si>
  <si>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</si>
  <si>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</si>
  <si>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</si>
  <si>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</si>
  <si>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</si>
  <si>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</si>
  <si>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</si>
  <si>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</si>
  <si>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</si>
  <si>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</si>
  <si>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</si>
  <si>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</si>
  <si>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</si>
  <si>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</si>
  <si>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</si>
  <si>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</si>
  <si>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</si>
  <si>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</si>
  <si>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</si>
  <si>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</si>
  <si>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</si>
  <si>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</si>
  <si>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</si>
  <si>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</si>
  <si>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</si>
  <si>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</si>
  <si>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</si>
  <si>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</si>
  <si>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</si>
  <si>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</si>
  <si>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</si>
  <si>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</si>
  <si>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</si>
  <si>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</si>
  <si>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</si>
  <si>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</si>
  <si>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</si>
  <si>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</si>
  <si>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</si>
  <si>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</si>
  <si>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</si>
  <si>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</si>
  <si>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</si>
  <si>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</si>
  <si>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</si>
  <si>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</si>
  <si>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</si>
  <si>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</si>
  <si>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</si>
  <si>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</si>
  <si>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</si>
  <si>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</si>
  <si>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</si>
  <si>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</si>
  <si>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</si>
  <si>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</si>
  <si>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</si>
  <si>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</si>
  <si>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</si>
  <si>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</si>
  <si>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</si>
  <si>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</si>
  <si>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</si>
  <si>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</si>
  <si>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</si>
  <si>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</si>
  <si>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</si>
  <si>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</si>
  <si>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</si>
  <si>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</si>
  <si>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</si>
  <si>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</si>
  <si>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</si>
  <si>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</si>
  <si>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</si>
  <si>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</si>
  <si>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</si>
  <si>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</si>
  <si>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</si>
  <si>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</si>
  <si>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</si>
  <si>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</si>
  <si>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</si>
  <si>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</si>
  <si>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</si>
  <si>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</si>
  <si>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</si>
  <si>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</si>
  <si>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</si>
  <si>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</si>
  <si>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</si>
  <si>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</si>
  <si>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</si>
  <si>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</si>
  <si>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</si>
  <si>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</si>
  <si>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</si>
  <si>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</si>
  <si>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</si>
  <si>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</si>
  <si>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</si>
  <si>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</si>
  <si>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</si>
  <si>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</si>
  <si>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</si>
  <si>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</si>
  <si>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</si>
  <si>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</si>
  <si>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</si>
  <si>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</si>
  <si>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</si>
  <si>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</si>
  <si>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</si>
  <si>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</si>
  <si>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</si>
  <si>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</si>
  <si>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</si>
  <si>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</si>
  <si>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</si>
  <si>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</si>
  <si>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</si>
  <si>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</si>
  <si>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</si>
  <si>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</si>
  <si>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</si>
  <si>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</si>
  <si>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</si>
  <si>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</si>
  <si>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</si>
  <si>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</si>
  <si>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</si>
  <si>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</si>
  <si>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</si>
  <si>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</si>
  <si>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</si>
  <si>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</si>
  <si>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</si>
  <si>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</si>
  <si>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</si>
  <si>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</si>
  <si>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</si>
  <si>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</si>
  <si>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</si>
  <si>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</si>
  <si>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</si>
  <si>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</si>
  <si>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</si>
  <si>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</si>
  <si>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</si>
  <si>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</si>
  <si>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</si>
  <si>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</si>
  <si>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</si>
  <si>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</si>
  <si>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</si>
  <si>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</si>
  <si>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</si>
  <si>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</si>
  <si>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</si>
  <si>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</si>
  <si>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</si>
  <si>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</si>
  <si>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</si>
  <si>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</si>
  <si>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</si>
  <si>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</si>
  <si>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</si>
  <si>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</si>
  <si>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</si>
  <si>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</si>
  <si>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</si>
  <si>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</si>
  <si>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</si>
  <si>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</si>
  <si>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</si>
  <si>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</si>
  <si>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</si>
  <si>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</si>
  <si>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</si>
  <si>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</si>
  <si>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</si>
  <si>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</si>
  <si>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</si>
  <si>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</si>
  <si>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</si>
  <si>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</si>
  <si>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</si>
  <si>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</si>
  <si>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</si>
  <si>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</si>
  <si>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</si>
  <si>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</si>
  <si>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</si>
  <si>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</si>
  <si>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</si>
  <si>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</si>
  <si>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</si>
  <si>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</si>
  <si>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</si>
  <si>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</si>
  <si>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</si>
  <si>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</si>
  <si>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</si>
  <si>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</si>
  <si>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</si>
  <si>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</si>
  <si>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</si>
  <si>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</si>
  <si>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</si>
  <si>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</si>
  <si>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</si>
  <si>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</si>
  <si>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</si>
  <si>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</si>
  <si>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</si>
  <si>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</si>
  <si>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</si>
  <si>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</si>
  <si>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</si>
  <si>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</si>
  <si>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</si>
  <si>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</si>
  <si>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</si>
  <si>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</si>
  <si>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</si>
  <si>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</si>
  <si>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</si>
  <si>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</si>
  <si>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</si>
  <si>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</si>
  <si>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</si>
  <si>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</si>
  <si>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</si>
  <si>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</si>
  <si>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</si>
  <si>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</si>
  <si>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</si>
  <si>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</si>
  <si>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</si>
  <si>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</si>
  <si>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</si>
  <si>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</si>
  <si>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</si>
  <si>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</si>
  <si>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</si>
  <si>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</si>
  <si>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</si>
  <si>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</si>
  <si>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</si>
  <si>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</si>
  <si>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</si>
  <si>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</si>
  <si>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</si>
  <si>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</si>
  <si>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</si>
  <si>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</si>
  <si>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</si>
  <si>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</si>
  <si>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</si>
  <si>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</si>
  <si>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</si>
  <si>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</si>
  <si>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</si>
  <si>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</si>
  <si>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</si>
  <si>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</si>
  <si>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</si>
  <si>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</si>
  <si>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</si>
  <si>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</si>
  <si>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</si>
  <si>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</si>
  <si>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</si>
  <si>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</si>
  <si>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</si>
  <si>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</si>
  <si>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</si>
  <si>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</si>
  <si>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</si>
  <si>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</si>
  <si>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</si>
  <si>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</si>
  <si>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</si>
  <si>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</si>
  <si>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</si>
  <si>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</si>
  <si>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</si>
  <si>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</si>
  <si>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</si>
  <si>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</si>
  <si>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</si>
  <si>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</si>
  <si>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</si>
  <si>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</si>
  <si>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</si>
  <si>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</si>
  <si>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</si>
  <si>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</si>
  <si>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</si>
  <si>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</si>
  <si>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</si>
  <si>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</si>
  <si>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</si>
  <si>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</si>
  <si>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</si>
  <si>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</si>
  <si>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</si>
  <si>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</si>
  <si>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</si>
  <si>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</si>
  <si>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</si>
  <si>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</si>
  <si>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</si>
  <si>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</si>
  <si>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</si>
  <si>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</si>
  <si>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</si>
  <si>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</si>
  <si>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</si>
  <si>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</si>
  <si>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</si>
  <si>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</si>
  <si>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</si>
  <si>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</si>
  <si>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</si>
  <si>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</si>
  <si>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</si>
  <si>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</si>
  <si>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</si>
  <si>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</si>
  <si>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</si>
  <si>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</si>
  <si>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</si>
  <si>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</si>
  <si>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</si>
  <si>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</si>
  <si>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</si>
  <si>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</si>
  <si>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</si>
  <si>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</si>
  <si>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</si>
  <si>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</si>
  <si>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</si>
  <si>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</si>
  <si>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</si>
  <si>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</si>
  <si>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</si>
  <si>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</si>
  <si>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</si>
  <si>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</si>
  <si>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</si>
  <si>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</si>
  <si>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</si>
  <si>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</si>
  <si>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</si>
  <si>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</si>
  <si>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</si>
  <si>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</si>
  <si>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</si>
  <si>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</si>
  <si>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</si>
  <si>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</si>
  <si>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</si>
  <si>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</si>
  <si>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</si>
  <si>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</si>
  <si>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</si>
  <si>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</si>
  <si>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</si>
  <si>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</si>
  <si>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</si>
  <si>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</si>
  <si>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</si>
  <si>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</si>
  <si>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</si>
  <si>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</si>
  <si>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</si>
  <si>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</si>
  <si>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</si>
  <si>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</si>
  <si>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</si>
  <si>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</si>
  <si>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</si>
  <si>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</si>
  <si>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</si>
  <si>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</si>
  <si>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</si>
  <si>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</si>
  <si>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</si>
  <si>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</si>
  <si>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</si>
  <si>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</si>
  <si>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</si>
  <si>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</si>
  <si>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</si>
  <si>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</si>
  <si>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</si>
  <si>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</si>
  <si>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</si>
  <si>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</si>
  <si>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</si>
  <si>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</si>
  <si>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</si>
  <si>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</si>
  <si>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</si>
  <si>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</si>
  <si>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</si>
  <si>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</si>
  <si>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</si>
  <si>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</si>
  <si>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</si>
  <si>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</si>
  <si>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</si>
  <si>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</si>
  <si>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</si>
  <si>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</si>
  <si>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</si>
  <si>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</si>
  <si>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</si>
  <si>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</si>
  <si>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</si>
  <si>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</si>
  <si>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</si>
  <si>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</si>
  <si>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</si>
  <si>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</si>
  <si>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</si>
  <si>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</si>
  <si>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</si>
  <si>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</si>
  <si>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</si>
  <si>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</si>
  <si>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</si>
  <si>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</si>
  <si>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</si>
  <si>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</si>
  <si>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</si>
  <si>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</si>
  <si>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</si>
  <si>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</si>
  <si>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</si>
  <si>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</si>
  <si>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</si>
  <si>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</si>
  <si>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</si>
  <si>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</si>
  <si>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</si>
  <si>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</si>
  <si>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</si>
  <si>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</si>
  <si>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</si>
  <si>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</si>
  <si>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</si>
  <si>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</si>
  <si>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</si>
  <si>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</si>
  <si>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</si>
  <si>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</si>
  <si>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</si>
  <si>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</si>
  <si>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</si>
  <si>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</si>
  <si>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</si>
  <si>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</si>
  <si>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</si>
  <si>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</si>
  <si>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</si>
  <si>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</si>
  <si>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</si>
  <si>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</si>
  <si>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</si>
  <si>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</si>
  <si>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</si>
  <si>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</si>
  <si>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</si>
  <si>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</si>
  <si>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</si>
  <si>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</si>
  <si>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</si>
  <si>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</si>
  <si>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</si>
  <si>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</si>
  <si>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</si>
  <si>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</si>
  <si>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</si>
  <si>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</si>
  <si>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</si>
  <si>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</si>
  <si>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</si>
  <si>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</si>
  <si>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</si>
  <si>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</si>
  <si>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</si>
  <si>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</si>
  <si>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</si>
  <si>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</si>
  <si>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</si>
  <si>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</si>
  <si>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</si>
  <si>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</si>
  <si>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</si>
  <si>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</si>
  <si>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</si>
  <si>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</si>
  <si>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</si>
  <si>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</si>
  <si>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</si>
  <si>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</si>
  <si>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</si>
  <si>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</si>
  <si>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</si>
  <si>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</si>
  <si>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</si>
  <si>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</si>
  <si>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</si>
  <si>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</si>
  <si>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</si>
  <si>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</si>
  <si>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</si>
  <si>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</si>
  <si>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</si>
  <si>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</si>
  <si>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</si>
  <si>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</si>
  <si>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</si>
  <si>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</si>
  <si>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</si>
  <si>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</si>
  <si>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</si>
  <si>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</si>
  <si>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</si>
  <si>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</si>
  <si>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</si>
  <si>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</si>
  <si>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</si>
  <si>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</si>
  <si>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</si>
  <si>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</si>
  <si>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</si>
  <si>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</si>
  <si>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</si>
  <si>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</si>
  <si>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</si>
  <si>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</si>
  <si>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</si>
  <si>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</si>
  <si>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</si>
  <si>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</si>
  <si>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</si>
  <si>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</si>
  <si>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</si>
  <si>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</si>
  <si>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</si>
  <si>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</si>
  <si>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</si>
  <si>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</si>
  <si>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</si>
  <si>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</si>
  <si>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</si>
  <si>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</si>
  <si>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</si>
  <si>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</si>
  <si>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</si>
  <si>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</si>
  <si>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</si>
  <si>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</si>
  <si>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</si>
  <si>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</si>
  <si>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</si>
  <si>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</si>
  <si>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</si>
  <si>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</si>
  <si>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</si>
  <si>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</si>
  <si>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</si>
  <si>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</si>
  <si>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</si>
  <si>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</si>
  <si>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</si>
  <si>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</si>
  <si>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</si>
  <si>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</si>
  <si>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</si>
  <si>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</si>
  <si>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</si>
  <si>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</si>
  <si>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</si>
  <si>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</si>
  <si>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</si>
  <si>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</si>
  <si>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</si>
  <si>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</si>
  <si>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</si>
  <si>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</si>
  <si>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</si>
  <si>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</si>
  <si>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</si>
  <si>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</si>
  <si>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</si>
  <si>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</si>
  <si>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</si>
  <si>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</si>
  <si>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</si>
  <si>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</si>
  <si>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</si>
  <si>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</si>
  <si>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</si>
  <si>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</si>
  <si>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</si>
  <si>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</si>
  <si>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</si>
  <si>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</si>
  <si>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</si>
  <si>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</si>
  <si>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</si>
  <si>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</si>
  <si>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</si>
  <si>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</si>
  <si>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</si>
  <si>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</si>
  <si>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</si>
  <si>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</si>
  <si>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</si>
  <si>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</si>
  <si>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</si>
  <si>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</si>
  <si>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</si>
  <si>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</si>
  <si>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</si>
  <si>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</si>
  <si>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</si>
  <si>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</si>
  <si>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</si>
  <si>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</si>
  <si>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</si>
  <si>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</si>
  <si>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</si>
  <si>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</si>
  <si>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</si>
  <si>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</si>
  <si>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</si>
  <si>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</si>
  <si>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</si>
  <si>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</si>
  <si>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</si>
  <si>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</si>
  <si>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</si>
  <si>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</si>
  <si>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</si>
  <si>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</si>
  <si>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</si>
  <si>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</si>
  <si>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</si>
  <si>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</si>
  <si>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</si>
  <si>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</si>
  <si>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</si>
  <si>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</si>
  <si>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</si>
  <si>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</si>
  <si>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</si>
  <si>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</si>
  <si>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</si>
  <si>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</si>
  <si>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</si>
  <si>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</si>
  <si>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</si>
  <si>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</si>
  <si>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</si>
  <si>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</si>
  <si>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</si>
  <si>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</si>
  <si>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</si>
  <si>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</si>
  <si>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</si>
  <si>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</si>
  <si>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</si>
  <si>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</si>
  <si>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</si>
  <si>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</si>
  <si>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</si>
  <si>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</si>
  <si>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</si>
  <si>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</si>
  <si>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</si>
  <si>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</si>
  <si>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</si>
  <si>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</si>
  <si>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</si>
  <si>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</si>
  <si>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</si>
  <si>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</si>
  <si>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</si>
  <si>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</si>
  <si>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</si>
  <si>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</si>
  <si>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</si>
  <si>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</si>
  <si>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</si>
  <si>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</si>
  <si>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</si>
  <si>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</si>
  <si>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</si>
  <si>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</si>
  <si>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</si>
  <si>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</si>
  <si>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</si>
  <si>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</si>
  <si>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</si>
  <si>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</si>
  <si>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</si>
  <si>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</si>
  <si>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</si>
  <si>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</si>
  <si>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</si>
  <si>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</si>
  <si>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</si>
  <si>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</si>
  <si>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</si>
  <si>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</si>
  <si>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</si>
  <si>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</si>
  <si>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</si>
  <si>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</si>
  <si>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</si>
  <si>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</si>
  <si>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</si>
  <si>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</si>
  <si>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</si>
  <si>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</si>
  <si>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</si>
  <si>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</si>
  <si>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</si>
  <si>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</si>
  <si>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</si>
  <si>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</si>
  <si>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</si>
  <si>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</si>
  <si>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</si>
  <si>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</si>
  <si>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</si>
  <si>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</si>
  <si>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</si>
  <si>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</si>
  <si>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</si>
  <si>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</si>
  <si>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</si>
  <si>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</si>
  <si>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</si>
  <si>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</si>
  <si>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</si>
  <si>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</si>
  <si>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</si>
  <si>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</si>
  <si>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</si>
  <si>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</si>
  <si>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</si>
  <si>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</si>
  <si>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</si>
  <si>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</si>
  <si>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</si>
  <si>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</si>
  <si>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</si>
  <si>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</si>
  <si>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</si>
  <si>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</si>
  <si>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</si>
  <si>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</si>
  <si>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</si>
  <si>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</si>
  <si>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</si>
  <si>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</si>
  <si>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</si>
  <si>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</si>
  <si>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</si>
  <si>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</si>
  <si>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</si>
  <si>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</si>
  <si>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</si>
  <si>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</si>
  <si>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</si>
  <si>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</si>
  <si>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</si>
  <si>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</si>
  <si>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</si>
  <si>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</si>
  <si>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</si>
  <si>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</si>
  <si>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</si>
  <si>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</si>
  <si>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</si>
  <si>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</si>
  <si>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</si>
  <si>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</si>
  <si>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</si>
  <si>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</si>
  <si>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</si>
  <si>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</si>
  <si>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</si>
  <si>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</si>
  <si>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</si>
  <si>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</si>
  <si>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</si>
  <si>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</si>
  <si>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</si>
  <si>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</si>
  <si>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</si>
  <si>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</si>
  <si>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</si>
  <si>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</si>
  <si>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</si>
  <si>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</si>
  <si>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</si>
  <si>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</si>
  <si>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</si>
  <si>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</si>
  <si>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</si>
  <si>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</si>
  <si>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</si>
  <si>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</si>
  <si>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</si>
  <si>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</si>
  <si>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</si>
  <si>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</si>
  <si>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</si>
  <si>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</si>
  <si>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</si>
  <si>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</si>
  <si>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</si>
  <si>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</si>
  <si>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</si>
  <si>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</si>
  <si>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</si>
  <si>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</si>
  <si>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</si>
  <si>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</si>
  <si>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</si>
  <si>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</si>
  <si>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</si>
  <si>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</si>
  <si>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</si>
  <si>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</si>
  <si>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</si>
  <si>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</si>
  <si>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</si>
  <si>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</si>
  <si>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</si>
  <si>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</si>
  <si>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</si>
  <si>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</si>
  <si>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</si>
  <si>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</si>
  <si>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</si>
  <si>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</si>
  <si>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</si>
  <si>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</si>
  <si>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</si>
  <si>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</si>
  <si>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</si>
  <si>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</si>
  <si>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</si>
  <si>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</si>
  <si>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</si>
  <si>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</si>
  <si>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</si>
  <si>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</si>
  <si>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</si>
  <si>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</si>
  <si>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</si>
  <si>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</si>
  <si>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</si>
  <si>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</si>
  <si>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</si>
  <si>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</si>
  <si>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</si>
  <si>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</si>
  <si>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</si>
  <si>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</si>
  <si>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</si>
  <si>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</si>
  <si>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</si>
  <si>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</si>
  <si>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</si>
  <si>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</si>
  <si>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</si>
  <si>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</si>
  <si>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</si>
  <si>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</si>
  <si>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</si>
  <si>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</si>
  <si>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</si>
  <si>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</si>
  <si>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</si>
  <si>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</si>
  <si>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</si>
  <si>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</si>
  <si>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</si>
  <si>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</si>
  <si>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</si>
  <si>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</si>
  <si>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</si>
  <si>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</si>
  <si>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</si>
  <si>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</si>
  <si>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</si>
  <si>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</si>
  <si>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</si>
  <si>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</si>
  <si>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</si>
  <si>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</si>
  <si>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</si>
  <si>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</si>
  <si>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</si>
  <si>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</si>
  <si>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</si>
  <si>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</si>
  <si>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</si>
  <si>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</si>
  <si>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</si>
  <si>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</si>
  <si>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</si>
  <si>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</si>
  <si>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</si>
  <si>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</si>
  <si>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</si>
  <si>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</si>
  <si>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</si>
  <si>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</si>
  <si>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</si>
  <si>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</si>
  <si>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</si>
  <si>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</si>
  <si>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</si>
  <si>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</si>
  <si>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</si>
  <si>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</si>
  <si>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</si>
  <si>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</si>
  <si>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</si>
  <si>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</si>
  <si>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</si>
  <si>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</si>
  <si>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</si>
  <si>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</si>
  <si>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</si>
  <si>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</si>
  <si>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</si>
  <si>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</si>
  <si>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</si>
  <si>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</si>
  <si>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</si>
  <si>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</si>
  <si>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</si>
  <si>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</si>
  <si>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</si>
  <si>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</si>
  <si>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</si>
  <si>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</si>
  <si>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</si>
  <si>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</si>
  <si>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</si>
  <si>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</si>
  <si>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</si>
  <si>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</si>
  <si>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</si>
  <si>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</si>
  <si>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</si>
  <si>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</si>
  <si>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</si>
  <si>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</si>
  <si>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</si>
  <si>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</si>
  <si>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</si>
  <si>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</si>
  <si>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</si>
  <si>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</si>
  <si>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</si>
  <si>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</si>
  <si>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</si>
  <si>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</si>
  <si>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</si>
  <si>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</si>
  <si>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</si>
  <si>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</si>
  <si>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</si>
  <si>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</si>
  <si>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</si>
  <si>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</si>
  <si>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</si>
  <si>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</si>
  <si>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</si>
  <si>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</si>
  <si>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</si>
  <si>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</si>
  <si>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</si>
  <si>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</si>
  <si>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</si>
  <si>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</si>
  <si>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</si>
  <si>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</si>
  <si>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</si>
  <si>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</si>
  <si>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</si>
  <si>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</si>
  <si>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</si>
  <si>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</si>
  <si>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</si>
  <si>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</si>
  <si>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</si>
  <si>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</si>
  <si>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</si>
  <si>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</si>
  <si>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</si>
  <si>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</si>
  <si>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</si>
  <si>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</si>
  <si>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</si>
  <si>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</si>
  <si>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</si>
  <si>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</si>
  <si>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</si>
  <si>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</si>
  <si>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</si>
  <si>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</si>
  <si>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</si>
  <si>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</si>
  <si>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</si>
  <si>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</si>
  <si>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</si>
  <si>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</si>
  <si>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</si>
  <si>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</si>
  <si>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</si>
  <si>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</si>
  <si>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</si>
  <si>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</si>
  <si>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</si>
  <si>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</si>
  <si>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</si>
  <si>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</si>
  <si>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</si>
  <si>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</si>
  <si>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</si>
  <si>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</si>
  <si>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</si>
  <si>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</si>
  <si>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</si>
  <si>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</si>
  <si>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</si>
  <si>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</si>
  <si>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</si>
  <si>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</si>
  <si>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</si>
  <si>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</si>
  <si>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</si>
  <si>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</si>
  <si>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</si>
  <si>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</si>
  <si>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</si>
  <si>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</si>
  <si>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</si>
  <si>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</si>
  <si>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</si>
  <si>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</si>
  <si>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</si>
  <si>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</si>
  <si>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</si>
  <si>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</si>
  <si>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</si>
  <si>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</si>
  <si>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</si>
  <si>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</si>
  <si>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</si>
  <si>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</si>
  <si>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</si>
  <si>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</si>
  <si>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</si>
  <si>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</si>
  <si>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</si>
  <si>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</si>
  <si>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</si>
  <si>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</si>
  <si>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</si>
  <si>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</si>
  <si>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</si>
  <si>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</si>
  <si>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</si>
  <si>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</si>
  <si>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</si>
  <si>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</si>
  <si>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</si>
  <si>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</si>
  <si>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</si>
  <si>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</si>
  <si>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</si>
  <si>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</si>
  <si>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</si>
  <si>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</si>
  <si>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</si>
  <si>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</si>
  <si>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</si>
  <si>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</si>
  <si>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</si>
  <si>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</si>
  <si>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</si>
  <si>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</si>
  <si>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</si>
  <si>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</si>
  <si>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</si>
  <si>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</si>
  <si>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</si>
  <si>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</si>
  <si>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</si>
  <si>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</si>
  <si>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</si>
  <si>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</si>
  <si>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</si>
  <si>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</si>
  <si>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</si>
  <si>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</si>
  <si>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</si>
  <si>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</si>
  <si>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</si>
  <si>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</si>
  <si>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</si>
  <si>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</si>
  <si>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</si>
  <si>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</si>
  <si>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</si>
  <si>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</si>
  <si>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</si>
  <si>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</si>
  <si>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</si>
  <si>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</si>
  <si>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</si>
  <si>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</si>
  <si>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</si>
  <si>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</si>
  <si>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</si>
  <si>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</si>
  <si>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</si>
  <si>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</si>
  <si>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</si>
  <si>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</si>
  <si>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</si>
  <si>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</si>
  <si>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</si>
  <si>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</si>
  <si>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</si>
  <si>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</si>
  <si>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</si>
  <si>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</si>
  <si>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</si>
  <si>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</si>
  <si>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</si>
  <si>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</si>
  <si>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</si>
  <si>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</si>
  <si>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</si>
  <si>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</si>
  <si>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</si>
  <si>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</si>
  <si>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</si>
  <si>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</si>
  <si>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</si>
  <si>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</si>
  <si>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</si>
  <si>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</si>
  <si>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</si>
  <si>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</si>
  <si>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</si>
  <si>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</si>
  <si>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</si>
  <si>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</si>
  <si>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</si>
  <si>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</si>
  <si>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</si>
  <si>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</si>
  <si>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</si>
  <si>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</si>
  <si>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</si>
  <si>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</si>
  <si>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</si>
  <si>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</si>
  <si>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</si>
  <si>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</si>
  <si>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</si>
  <si>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</si>
  <si>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</si>
  <si>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</si>
  <si>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</si>
  <si>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</si>
  <si>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</si>
  <si>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</si>
  <si>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</si>
  <si>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</si>
  <si>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</si>
  <si>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</si>
  <si>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</si>
  <si>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</si>
  <si>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</si>
  <si>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</si>
  <si>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</si>
  <si>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</si>
  <si>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</si>
  <si>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</si>
  <si>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</si>
  <si>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</si>
  <si>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</si>
  <si>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</si>
  <si>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</si>
  <si>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</si>
  <si>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</si>
  <si>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</si>
  <si>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</si>
  <si>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</si>
  <si>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</si>
  <si>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</si>
  <si>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</si>
  <si>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</si>
  <si>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</si>
  <si>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</si>
  <si>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</si>
  <si>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</si>
  <si>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</si>
  <si>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</si>
  <si>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</si>
  <si>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</si>
  <si>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</si>
  <si>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</si>
  <si>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</si>
  <si>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</si>
  <si>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</si>
  <si>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</si>
  <si>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</si>
  <si>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</si>
  <si>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</si>
  <si>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</si>
  <si>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</si>
  <si>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</si>
  <si>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</si>
  <si>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</si>
  <si>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</si>
  <si>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</si>
  <si>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</si>
  <si>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</si>
  <si>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</si>
  <si>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</si>
  <si>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</si>
  <si>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</si>
  <si>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</si>
  <si>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</si>
  <si>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</si>
  <si>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</si>
  <si>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</si>
  <si>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</si>
  <si>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</si>
  <si>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</si>
  <si>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</si>
  <si>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</si>
  <si>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</si>
  <si>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</si>
  <si>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</si>
  <si>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</si>
  <si>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</si>
  <si>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</si>
  <si>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</si>
  <si>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</si>
  <si>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</si>
  <si>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</si>
  <si>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</si>
  <si>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</si>
  <si>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</si>
  <si>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</si>
  <si>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</si>
  <si>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</si>
  <si>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</si>
  <si>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</si>
  <si>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</si>
  <si>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</si>
  <si>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</si>
  <si>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</si>
  <si>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</si>
  <si>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</si>
  <si>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</si>
  <si>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</si>
  <si>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</si>
  <si>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</si>
  <si>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</si>
  <si>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</si>
  <si>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</si>
  <si>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</si>
  <si>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</si>
  <si>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</si>
  <si>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</si>
  <si>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</si>
  <si>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</si>
  <si>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</si>
  <si>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</si>
  <si>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</si>
  <si>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</si>
  <si>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</si>
  <si>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</si>
  <si>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</si>
  <si>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</si>
  <si>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</si>
  <si>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</si>
  <si>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</si>
  <si>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</si>
  <si>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</si>
  <si>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</si>
  <si>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</si>
  <si>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</si>
  <si>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</si>
  <si>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</si>
  <si>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</si>
  <si>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</si>
  <si>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</si>
  <si>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</si>
  <si>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</si>
  <si>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</si>
  <si>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</si>
  <si>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</si>
  <si>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</si>
  <si>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</si>
  <si>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</si>
  <si>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</si>
  <si>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</si>
  <si>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</si>
  <si>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</si>
  <si>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</si>
  <si>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</si>
  <si>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</si>
  <si>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</si>
  <si>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</si>
  <si>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</si>
  <si>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</si>
  <si>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</si>
  <si>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</si>
  <si>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</si>
  <si>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</si>
  <si>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</si>
  <si>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</si>
  <si>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</si>
  <si>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</si>
  <si>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</si>
  <si>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</si>
  <si>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</si>
  <si>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</si>
  <si>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</si>
  <si>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</si>
  <si>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</si>
  <si>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</si>
  <si>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</si>
  <si>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</si>
  <si>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</si>
  <si>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</si>
  <si>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</si>
  <si>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</si>
  <si>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</si>
  <si>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</si>
  <si>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</si>
  <si>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</si>
  <si>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</si>
  <si>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</si>
  <si>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</si>
  <si>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</si>
  <si>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</si>
  <si>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</si>
  <si>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</si>
  <si>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</si>
  <si>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</si>
  <si>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</si>
  <si>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</si>
  <si>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</si>
  <si>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</si>
  <si>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</si>
  <si>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</si>
  <si>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</si>
  <si>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</si>
  <si>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</si>
  <si>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</si>
  <si>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</si>
  <si>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</si>
  <si>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</si>
  <si>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</si>
  <si>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</si>
  <si>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</si>
  <si>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</si>
  <si>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</si>
  <si>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</si>
  <si>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</si>
  <si>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</si>
  <si>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</si>
  <si>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</si>
  <si>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</si>
  <si>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</si>
  <si>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</si>
  <si>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</si>
  <si>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</si>
  <si>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</si>
  <si>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</si>
  <si>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</si>
  <si>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</si>
  <si>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</si>
  <si>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</si>
  <si>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</si>
  <si>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</si>
  <si>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</si>
  <si>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</si>
  <si>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</si>
  <si>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</si>
  <si>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</si>
  <si>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</si>
  <si>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</si>
  <si>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</si>
  <si>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</si>
  <si>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</si>
  <si>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</si>
  <si>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</si>
  <si>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</si>
  <si>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</si>
  <si>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</si>
  <si>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</si>
  <si>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</si>
  <si>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</si>
  <si>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</si>
  <si>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</si>
  <si>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</si>
  <si>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</si>
  <si>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</si>
  <si>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</si>
  <si>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</si>
  <si>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</si>
  <si>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</si>
  <si>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</si>
  <si>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</si>
  <si>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</si>
  <si>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</si>
  <si>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</si>
  <si>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</si>
  <si>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</si>
  <si>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</si>
  <si>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</si>
  <si>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</si>
  <si>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</si>
  <si>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</si>
  <si>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</si>
  <si>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</si>
  <si>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</si>
  <si>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</si>
  <si>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</si>
  <si>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</si>
  <si>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</si>
  <si>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</si>
  <si>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</si>
  <si>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</si>
  <si>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</si>
  <si>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</si>
  <si>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</si>
  <si>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</si>
  <si>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</si>
  <si>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</si>
  <si>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</si>
  <si>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</si>
  <si>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</si>
  <si>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</si>
  <si>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</si>
  <si>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</si>
  <si>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</si>
  <si>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</si>
  <si>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</si>
  <si>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</si>
  <si>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</si>
  <si>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</si>
  <si>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</si>
  <si>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</si>
  <si>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</si>
  <si>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</si>
  <si>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</si>
  <si>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</si>
  <si>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</si>
  <si>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</si>
  <si>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</si>
  <si>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</si>
  <si>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</si>
  <si>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</si>
  <si>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</si>
  <si>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</si>
  <si>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</si>
  <si>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</si>
  <si>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</si>
  <si>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</si>
  <si>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</si>
  <si>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</si>
  <si>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</si>
  <si>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</si>
  <si>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</si>
  <si>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</si>
  <si>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</si>
  <si>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</si>
  <si>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</si>
  <si>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</si>
  <si>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</si>
  <si>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</si>
  <si>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</si>
  <si>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</si>
  <si>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</si>
  <si>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</si>
  <si>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</si>
  <si>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</si>
  <si>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</si>
  <si>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</si>
  <si>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</si>
  <si>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</si>
  <si>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</si>
  <si>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</si>
  <si>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</si>
  <si>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</si>
  <si>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</si>
  <si>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</si>
  <si>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</si>
  <si>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</si>
  <si>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</si>
  <si>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</si>
  <si>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</si>
  <si>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</si>
  <si>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</si>
  <si>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</si>
  <si>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</si>
  <si>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</si>
  <si>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</si>
  <si>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</si>
  <si>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</si>
  <si>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</si>
  <si>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</si>
  <si>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</si>
  <si>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</si>
  <si>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</si>
  <si>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</si>
  <si>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</si>
  <si>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</si>
  <si>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</si>
  <si>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</si>
  <si>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</si>
  <si>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</si>
  <si>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</si>
  <si>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</si>
  <si>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</si>
  <si>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</si>
  <si>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</si>
  <si>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</si>
  <si>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</si>
  <si>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</si>
  <si>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</si>
  <si>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</si>
  <si>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</si>
  <si>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</si>
  <si>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</si>
  <si>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</si>
  <si>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</si>
  <si>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</si>
  <si>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</si>
  <si>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</si>
  <si>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</si>
  <si>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</si>
  <si>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</si>
  <si>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</si>
  <si>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</si>
  <si>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</si>
  <si>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</si>
  <si>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</si>
  <si>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</si>
  <si>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</si>
  <si>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</si>
  <si>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</si>
  <si>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</si>
  <si>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</si>
  <si>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</si>
  <si>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</si>
  <si>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</si>
  <si>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</si>
  <si>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</si>
  <si>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</si>
  <si>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</si>
  <si>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</si>
  <si>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</si>
  <si>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</si>
  <si>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</si>
  <si>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</si>
  <si>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</si>
  <si>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</si>
  <si>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</si>
  <si>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</si>
  <si>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</si>
  <si>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</si>
  <si>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</si>
  <si>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</si>
  <si>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</si>
  <si>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</si>
  <si>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</si>
  <si>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</si>
  <si>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</si>
  <si>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</si>
  <si>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</si>
  <si>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</si>
  <si>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</si>
  <si>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</si>
  <si>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</si>
  <si>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</si>
  <si>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</si>
  <si>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</si>
  <si>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</si>
  <si>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</si>
  <si>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</si>
  <si>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</si>
  <si>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</si>
  <si>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</si>
  <si>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</si>
  <si>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</si>
  <si>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</si>
  <si>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</si>
  <si>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</si>
  <si>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</si>
  <si>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</si>
  <si>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</si>
  <si>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</si>
  <si>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</si>
  <si>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</si>
  <si>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</si>
  <si>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</si>
  <si>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</si>
  <si>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</si>
  <si>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</si>
  <si>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</si>
  <si>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</si>
  <si>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</si>
  <si>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</si>
  <si>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</si>
  <si>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</si>
  <si>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</si>
  <si>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</si>
  <si>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</si>
  <si>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</si>
  <si>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</si>
  <si>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</si>
  <si>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</si>
  <si>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</si>
  <si>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</si>
  <si>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</si>
  <si>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</si>
  <si>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</si>
  <si>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</si>
  <si>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</si>
  <si>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</si>
  <si>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</si>
  <si>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</si>
  <si>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</si>
  <si>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</si>
  <si>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</si>
  <si>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</si>
  <si>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</si>
  <si>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</si>
  <si>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</si>
  <si>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</si>
  <si>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</si>
  <si>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</si>
  <si>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</si>
  <si>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</si>
  <si>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</si>
  <si>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</si>
  <si>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</si>
  <si>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</si>
  <si>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</si>
  <si>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</si>
  <si>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</si>
  <si>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</si>
  <si>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</si>
  <si>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</si>
  <si>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</si>
  <si>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</si>
  <si>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</si>
  <si>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</si>
  <si>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</si>
  <si>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</si>
  <si>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</si>
  <si>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</si>
  <si>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</si>
  <si>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</si>
  <si>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</si>
  <si>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</si>
  <si>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</si>
  <si>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</si>
  <si>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</si>
  <si>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</si>
  <si>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</si>
  <si>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</si>
  <si>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</si>
  <si>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</si>
  <si>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</si>
  <si>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</si>
  <si>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</si>
  <si>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</si>
  <si>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</si>
  <si>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</si>
  <si>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</si>
  <si>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</si>
  <si>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</si>
  <si>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</si>
  <si>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</si>
  <si>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</si>
  <si>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</si>
  <si>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</si>
  <si>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</si>
  <si>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</si>
  <si>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</si>
  <si>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</si>
  <si>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</si>
  <si>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</si>
  <si>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</si>
  <si>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</si>
  <si>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</si>
  <si>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</si>
  <si>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</si>
  <si>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</si>
  <si>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</si>
  <si>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</si>
  <si>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</si>
  <si>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</si>
  <si>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</si>
  <si>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</si>
  <si>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</si>
  <si>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</si>
  <si>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</si>
  <si>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</si>
  <si>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</si>
  <si>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</si>
  <si>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</si>
  <si>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</si>
  <si>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</si>
  <si>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</si>
  <si>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</si>
  <si>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</si>
  <si>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</si>
  <si>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</si>
  <si>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</si>
  <si>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</si>
  <si>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</si>
  <si>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</si>
  <si>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</si>
  <si>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</si>
  <si>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</si>
  <si>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</si>
  <si>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</si>
  <si>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</si>
  <si>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</si>
  <si>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</si>
  <si>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</si>
  <si>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</si>
  <si>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</si>
  <si>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</si>
  <si>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</si>
  <si>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</si>
  <si>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</si>
  <si>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</si>
  <si>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</si>
  <si>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</si>
  <si>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</si>
  <si>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</si>
  <si>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</si>
  <si>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</si>
  <si>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</si>
  <si>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</si>
  <si>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</si>
  <si>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</si>
  <si>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</si>
  <si>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</si>
  <si>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</si>
  <si>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</si>
  <si>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</si>
  <si>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</si>
  <si>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</si>
  <si>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</si>
  <si>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</si>
  <si>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</si>
  <si>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</si>
  <si>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</si>
  <si>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</si>
  <si>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</si>
  <si>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</si>
  <si>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</si>
  <si>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</si>
  <si>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</si>
  <si>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</si>
  <si>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</si>
  <si>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</si>
  <si>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</si>
  <si>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</si>
  <si>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</si>
  <si>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</si>
  <si>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</si>
  <si>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</si>
  <si>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</si>
  <si>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</si>
  <si>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</si>
  <si>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</si>
  <si>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</si>
  <si>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</si>
  <si>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</si>
  <si>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</si>
  <si>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</si>
  <si>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</si>
  <si>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</si>
  <si>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</si>
  <si>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</si>
  <si>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</si>
  <si>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</si>
  <si>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</si>
  <si>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</si>
  <si>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</si>
  <si>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</si>
  <si>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</si>
  <si>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</si>
  <si>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</si>
  <si>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</si>
  <si>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</si>
  <si>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</si>
  <si>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</si>
  <si>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</si>
  <si>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</si>
  <si>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</si>
  <si>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</si>
  <si>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</si>
  <si>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</si>
  <si>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</si>
  <si>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</si>
  <si>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</si>
  <si>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</si>
  <si>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</si>
  <si>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</si>
  <si>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</si>
  <si>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</si>
  <si>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</si>
  <si>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</si>
  <si>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</si>
  <si>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</si>
  <si>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</si>
  <si>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</si>
  <si>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</si>
  <si>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</si>
  <si>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</si>
  <si>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</si>
  <si>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</si>
  <si>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</si>
  <si>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</si>
  <si>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</si>
  <si>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</si>
  <si>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</si>
  <si>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</si>
  <si>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</si>
  <si>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</si>
  <si>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</si>
  <si>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</si>
  <si>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</si>
  <si>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</si>
  <si>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</si>
  <si>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</si>
  <si>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</si>
  <si>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</si>
  <si>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</si>
  <si>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</si>
  <si>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</si>
  <si>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</si>
  <si>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</si>
  <si>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</si>
  <si>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</si>
  <si>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</si>
  <si>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</si>
  <si>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</si>
  <si>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</si>
  <si>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</si>
  <si>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</si>
  <si>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</si>
  <si>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</si>
  <si>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</si>
  <si>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</si>
  <si>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</si>
  <si>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</si>
  <si>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</si>
  <si>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</si>
  <si>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</si>
  <si>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</si>
  <si>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</si>
  <si>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</si>
  <si>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</si>
  <si>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</si>
  <si>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</si>
  <si>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</si>
  <si>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</si>
  <si>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</si>
  <si>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</si>
  <si>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</si>
  <si>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</si>
  <si>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</si>
  <si>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</si>
  <si>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</si>
  <si>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</si>
  <si>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</si>
  <si>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</si>
  <si>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</si>
  <si>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</si>
  <si>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</si>
  <si>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</si>
  <si>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</si>
  <si>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</si>
  <si>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</si>
  <si>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</si>
  <si>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</si>
  <si>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</si>
  <si>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</si>
  <si>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</si>
  <si>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</si>
  <si>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</si>
  <si>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</si>
  <si>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</si>
  <si>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</si>
  <si>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</si>
  <si>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</si>
  <si>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</si>
  <si>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</si>
  <si>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</si>
  <si>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</si>
  <si>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</si>
  <si>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</si>
  <si>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</si>
  <si>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</si>
  <si>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</si>
  <si>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</si>
  <si>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</si>
  <si>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</si>
  <si>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</si>
  <si>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</si>
  <si>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</si>
  <si>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</si>
  <si>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</si>
  <si>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</si>
  <si>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</si>
  <si>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</si>
  <si>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</si>
  <si>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</si>
  <si>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</si>
  <si>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</si>
  <si>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</si>
  <si>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</si>
  <si>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</si>
  <si>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</si>
  <si>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</si>
  <si>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</si>
  <si>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</si>
  <si>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</si>
  <si>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</si>
  <si>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</si>
  <si>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</si>
  <si>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</si>
  <si>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</si>
  <si>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</si>
  <si>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</si>
  <si>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</si>
  <si>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</si>
  <si>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</si>
  <si>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</si>
  <si>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</si>
  <si>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</si>
  <si>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</si>
  <si>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</si>
  <si>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</si>
  <si>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</si>
  <si>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</si>
  <si>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</si>
  <si>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</si>
  <si>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</si>
  <si>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</si>
  <si>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</si>
  <si>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</si>
  <si>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</si>
  <si>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</si>
  <si>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</si>
  <si>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</si>
  <si>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</si>
  <si>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</si>
  <si>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</si>
  <si>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</si>
  <si>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</si>
  <si>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</si>
  <si>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</si>
  <si>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</si>
  <si>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</si>
  <si>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</si>
  <si>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</si>
  <si>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</si>
  <si>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</si>
  <si>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</si>
  <si>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</si>
  <si>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</si>
  <si>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</si>
  <si>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</si>
  <si>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</si>
  <si>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</si>
  <si>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</si>
  <si>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</si>
  <si>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</si>
  <si>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</si>
  <si>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</si>
  <si>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</si>
  <si>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</si>
  <si>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</si>
  <si>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</si>
  <si>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</si>
  <si>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</si>
  <si>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</si>
  <si>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</si>
  <si>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</si>
  <si>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</si>
  <si>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</si>
  <si>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</si>
  <si>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</si>
  <si>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</si>
  <si>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</si>
  <si>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</si>
  <si>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</si>
  <si>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</si>
  <si>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</si>
  <si>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</si>
  <si>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</si>
  <si>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</si>
  <si>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</si>
  <si>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</si>
  <si>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</si>
  <si>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</si>
  <si>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</si>
  <si>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</si>
  <si>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</si>
  <si>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</si>
  <si>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</si>
  <si>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</si>
  <si>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</si>
  <si>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</si>
  <si>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</si>
  <si>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</si>
  <si>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</si>
  <si>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</si>
  <si>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</si>
  <si>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</si>
  <si>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</si>
  <si>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</si>
  <si>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</si>
  <si>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</si>
  <si>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</si>
  <si>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</si>
  <si>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</si>
  <si>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</si>
  <si>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</si>
  <si>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</si>
  <si>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</si>
  <si>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</si>
  <si>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</si>
  <si>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</si>
  <si>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</si>
  <si>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</si>
  <si>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</si>
  <si>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</si>
  <si>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</si>
  <si>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</si>
  <si>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</si>
  <si>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</si>
  <si>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</si>
  <si>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</si>
  <si>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</si>
  <si>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</si>
  <si>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</si>
  <si>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</si>
  <si>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</si>
  <si>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</si>
  <si>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</si>
  <si>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</si>
  <si>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</si>
  <si>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</si>
  <si>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</si>
  <si>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</si>
  <si>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</si>
  <si>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</si>
  <si>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</si>
  <si>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</si>
  <si>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</si>
  <si>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</si>
  <si>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</si>
  <si>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</si>
  <si>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</si>
  <si>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</si>
  <si>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</si>
  <si>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</si>
  <si>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</si>
  <si>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</si>
  <si>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</si>
  <si>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</si>
  <si>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</si>
  <si>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</si>
  <si>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</si>
  <si>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03751970</t>
  </si>
  <si>
    <t>080020427</t>
  </si>
  <si>
    <t>58843087891</t>
  </si>
  <si>
    <t>Agencija za komercijalnu djelatnost d.o.o.</t>
  </si>
  <si>
    <t>Savska cesta 31.</t>
  </si>
  <si>
    <t>akd@akd.hr</t>
  </si>
  <si>
    <t>w.w.w.akd.hr</t>
  </si>
  <si>
    <t>DA</t>
  </si>
  <si>
    <t>76394522236</t>
  </si>
  <si>
    <t>Siročić-Turčin Blaženka</t>
  </si>
  <si>
    <t>01 3657 734</t>
  </si>
  <si>
    <t>01 3657 702</t>
  </si>
  <si>
    <t>blazenka.sirocic@akd.hr</t>
  </si>
  <si>
    <t>5.1</t>
  </si>
  <si>
    <t>5.2</t>
  </si>
  <si>
    <t>5.3.1</t>
  </si>
  <si>
    <t>5.3.2</t>
  </si>
  <si>
    <t>5.4</t>
  </si>
  <si>
    <t>5.5</t>
  </si>
  <si>
    <t>5.6</t>
  </si>
  <si>
    <t>5.7</t>
  </si>
  <si>
    <t>5.8</t>
  </si>
  <si>
    <t>5.16</t>
  </si>
  <si>
    <t>5.9</t>
  </si>
  <si>
    <t>5.10</t>
  </si>
  <si>
    <t>5.11</t>
  </si>
  <si>
    <t>5.12</t>
  </si>
  <si>
    <t>5.13</t>
  </si>
  <si>
    <t>5.14</t>
  </si>
  <si>
    <t>5.15</t>
  </si>
  <si>
    <t>4.1</t>
  </si>
  <si>
    <t>4.1.1</t>
  </si>
  <si>
    <t>4.1.2</t>
  </si>
  <si>
    <t>4.3</t>
  </si>
  <si>
    <t>4.3.1</t>
  </si>
  <si>
    <t>4.3.2</t>
  </si>
  <si>
    <t>4.3.2a</t>
  </si>
  <si>
    <t>4.3.2b</t>
  </si>
  <si>
    <t>4.3.3</t>
  </si>
  <si>
    <t>4.3.4</t>
  </si>
  <si>
    <t>4.3.5</t>
  </si>
  <si>
    <t>4.3.6</t>
  </si>
  <si>
    <t>4.3.7</t>
  </si>
  <si>
    <t>4.3.8</t>
  </si>
  <si>
    <t>4.2</t>
  </si>
  <si>
    <t>4.4</t>
  </si>
  <si>
    <t>4.5</t>
  </si>
  <si>
    <t>5.1,5.2</t>
  </si>
  <si>
    <t>5.14,5.15</t>
  </si>
  <si>
    <t>5.12,4.2</t>
  </si>
  <si>
    <t>4.2,4.4</t>
  </si>
  <si>
    <t>5.6,5.3.1</t>
  </si>
  <si>
    <t>Perković - Škalic Anita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</si>
</sst>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8097235.26</v>
      </c>
      <c r="I3" s="27">
        <f>ABS(ROUND(J3,0)-J3)+ABS(ROUND(K3,0)-K3)</f>
        <v>0</v>
      </c>
      <c r="J3" s="75">
        <f>Bilanca!K11</f>
        <v>138563265</v>
      </c>
      <c r="K3" s="76">
        <f>Bilanca!L11</f>
        <v>133149249</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t="str">
        <f>IF(Bilanca!J12=0,"",Bilanca!J12)</f>
        <v>5.1</v>
      </c>
      <c r="H4" s="224">
        <f aca="true" t="shared" si="1" ref="H4:H44">J4/100*F4+2*K4/100*F4</f>
        <v>877895.52</v>
      </c>
      <c r="I4" s="77">
        <f>ABS(ROUND(J4,0)-J4)+ABS(ROUND(K4,0)-K4)</f>
        <v>0</v>
      </c>
      <c r="J4" s="75">
        <f>Bilanca!K12</f>
        <v>9943888</v>
      </c>
      <c r="K4" s="76">
        <f>Bilanca!L12</f>
        <v>9659648</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03751970</v>
      </c>
      <c r="C6" s="27"/>
      <c r="D6" s="27" t="s">
        <v>2272</v>
      </c>
      <c r="E6" s="27">
        <v>1</v>
      </c>
      <c r="F6" s="27">
        <f>Bilanca!I14</f>
        <v>5</v>
      </c>
      <c r="G6" s="27">
        <f>IF(Bilanca!J14=0,"",Bilanca!J14)</f>
      </c>
      <c r="H6" s="224">
        <f t="shared" si="1"/>
        <v>1330054.5999999999</v>
      </c>
      <c r="I6" s="77">
        <f t="shared" si="2"/>
        <v>0</v>
      </c>
      <c r="J6" s="75">
        <f>Bilanca!K14</f>
        <v>9244534</v>
      </c>
      <c r="K6" s="76">
        <f>Bilanca!L14</f>
        <v>8678279</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080020427</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58843087891</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Agencija za komercijalnu djelatnost d.o.o.</v>
      </c>
      <c r="C9" s="27"/>
      <c r="D9" s="27" t="s">
        <v>2272</v>
      </c>
      <c r="E9" s="27">
        <v>1</v>
      </c>
      <c r="F9" s="27">
        <f>Bilanca!I17</f>
        <v>8</v>
      </c>
      <c r="G9" s="27">
        <f>IF(Bilanca!J17=0,"",Bilanca!J17)</f>
      </c>
      <c r="H9" s="224">
        <f t="shared" si="1"/>
        <v>212967.36000000002</v>
      </c>
      <c r="I9" s="27">
        <f t="shared" si="2"/>
        <v>0</v>
      </c>
      <c r="J9" s="75">
        <f>Bilanca!K17</f>
        <v>699354</v>
      </c>
      <c r="K9" s="76">
        <f>Bilanca!L17</f>
        <v>981369</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Zagreb</v>
      </c>
      <c r="C11" s="27"/>
      <c r="D11" s="27" t="s">
        <v>2272</v>
      </c>
      <c r="E11" s="27">
        <v>1</v>
      </c>
      <c r="F11" s="27">
        <f>Bilanca!I19</f>
        <v>10</v>
      </c>
      <c r="G11" s="27" t="str">
        <f>IF(Bilanca!J19=0,"",Bilanca!J19)</f>
        <v>5.2</v>
      </c>
      <c r="H11" s="224">
        <f t="shared" si="1"/>
        <v>25848673</v>
      </c>
      <c r="I11" s="27">
        <f t="shared" si="2"/>
        <v>0</v>
      </c>
      <c r="J11" s="75">
        <f>Bilanca!K19</f>
        <v>89773662</v>
      </c>
      <c r="K11" s="76">
        <f>Bilanca!L19</f>
        <v>84356534</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Savska cesta 31.</v>
      </c>
      <c r="C12" s="27"/>
      <c r="D12" s="27" t="s">
        <v>2272</v>
      </c>
      <c r="E12" s="27">
        <v>1</v>
      </c>
      <c r="F12" s="27">
        <f>Bilanca!I20</f>
        <v>11</v>
      </c>
      <c r="G12" s="27">
        <f>IF(Bilanca!J20=0,"",Bilanca!J20)</f>
      </c>
      <c r="H12" s="224">
        <f t="shared" si="1"/>
        <v>696672.5700000001</v>
      </c>
      <c r="I12" s="77">
        <f t="shared" si="2"/>
        <v>0</v>
      </c>
      <c r="J12" s="75">
        <f>Bilanca!K20</f>
        <v>2111129</v>
      </c>
      <c r="K12" s="76">
        <f>Bilanca!L20</f>
        <v>2111129</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akd@akd.hr</v>
      </c>
      <c r="C13" s="27"/>
      <c r="D13" s="27" t="s">
        <v>2272</v>
      </c>
      <c r="E13" s="27">
        <v>1</v>
      </c>
      <c r="F13" s="27">
        <f>Bilanca!I21</f>
        <v>12</v>
      </c>
      <c r="G13" s="27">
        <f>IF(Bilanca!J21=0,"",Bilanca!J21)</f>
      </c>
      <c r="H13" s="224">
        <f t="shared" si="1"/>
        <v>11593046.399999999</v>
      </c>
      <c r="I13" s="27">
        <f t="shared" si="2"/>
        <v>0</v>
      </c>
      <c r="J13" s="75">
        <f>Bilanca!K21</f>
        <v>33022722</v>
      </c>
      <c r="K13" s="76">
        <f>Bilanca!L21</f>
        <v>31792999</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w.w.w.akd.hr</v>
      </c>
      <c r="C14" s="27"/>
      <c r="D14" s="27" t="s">
        <v>2272</v>
      </c>
      <c r="E14" s="27">
        <v>1</v>
      </c>
      <c r="F14" s="27">
        <f>Bilanca!I22</f>
        <v>13</v>
      </c>
      <c r="G14" s="27">
        <f>IF(Bilanca!J22=0,"",Bilanca!J22)</f>
      </c>
      <c r="H14" s="224">
        <f t="shared" si="1"/>
        <v>19224774.66</v>
      </c>
      <c r="I14" s="77">
        <f t="shared" si="2"/>
        <v>0</v>
      </c>
      <c r="J14" s="75">
        <f>Bilanca!K22</f>
        <v>49680938</v>
      </c>
      <c r="K14" s="76">
        <f>Bilanca!L22</f>
        <v>49100972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21</v>
      </c>
      <c r="C15" s="27"/>
      <c r="D15" s="27" t="s">
        <v>2272</v>
      </c>
      <c r="E15" s="27">
        <v>1</v>
      </c>
      <c r="F15" s="27">
        <f>Bilanca!I23</f>
        <v>14</v>
      </c>
      <c r="G15" s="27">
        <f>IF(Bilanca!J23=0,"",Bilanca!J23)</f>
      </c>
      <c r="H15" s="224">
        <f t="shared" si="1"/>
        <v>0</v>
      </c>
      <c r="I15" s="27">
        <f t="shared" si="2"/>
        <v>0</v>
      </c>
      <c r="J15" s="75">
        <f>Bilanca!K23</f>
        <v>0</v>
      </c>
      <c r="K15" s="76">
        <f>Bilanca!L23</f>
        <v>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133</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1812</v>
      </c>
      <c r="C17" s="27"/>
      <c r="D17" s="27" t="s">
        <v>2272</v>
      </c>
      <c r="E17" s="27">
        <v>1</v>
      </c>
      <c r="F17" s="27">
        <f>Bilanca!I25</f>
        <v>16</v>
      </c>
      <c r="G17" s="27">
        <f>IF(Bilanca!J25=0,"",Bilanca!J25)</f>
      </c>
      <c r="H17" s="224">
        <f t="shared" si="1"/>
        <v>520452.95999999996</v>
      </c>
      <c r="I17" s="27">
        <f t="shared" si="2"/>
        <v>0</v>
      </c>
      <c r="J17" s="75">
        <f>Bilanca!K25</f>
        <v>2317259</v>
      </c>
      <c r="K17" s="76">
        <f>Bilanca!L25</f>
        <v>467786</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466924.38</v>
      </c>
      <c r="I18" s="77">
        <f t="shared" si="2"/>
        <v>0</v>
      </c>
      <c r="J18" s="75">
        <f>Bilanca!K26</f>
        <v>2103622</v>
      </c>
      <c r="K18" s="76">
        <f>Bilanca!L26</f>
        <v>321496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299213.28</v>
      </c>
      <c r="I19" s="27">
        <f t="shared" si="2"/>
        <v>0</v>
      </c>
      <c r="J19" s="75">
        <f>Bilanca!K27</f>
        <v>537992</v>
      </c>
      <c r="K19" s="76">
        <f>Bilanca!L27</f>
        <v>562152</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3</v>
      </c>
      <c r="C21" s="27"/>
      <c r="D21" s="27" t="s">
        <v>2272</v>
      </c>
      <c r="E21" s="27">
        <v>1</v>
      </c>
      <c r="F21" s="27">
        <f>Bilanca!I29</f>
        <v>20</v>
      </c>
      <c r="G21" s="27">
        <f>IF(Bilanca!J29=0,"",Bilanca!J29)</f>
      </c>
      <c r="H21" s="224">
        <f t="shared" si="1"/>
        <v>23422369.799999997</v>
      </c>
      <c r="I21" s="27">
        <f t="shared" si="2"/>
        <v>0</v>
      </c>
      <c r="J21" s="75">
        <f>Bilanca!K29</f>
        <v>38845715</v>
      </c>
      <c r="K21" s="76">
        <f>Bilanca!L29</f>
        <v>39133067</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t="str">
        <f>IF(Bilanca!J30=0,"",Bilanca!J30)</f>
        <v>5.3.1</v>
      </c>
      <c r="H22" s="224">
        <f t="shared" si="1"/>
        <v>23422896.840000004</v>
      </c>
      <c r="I22" s="77">
        <f t="shared" si="2"/>
        <v>0</v>
      </c>
      <c r="J22" s="75">
        <f>Bilanca!K30</f>
        <v>36796228</v>
      </c>
      <c r="K22" s="76">
        <f>Bilanca!L30</f>
        <v>37370688</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296</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311</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303</v>
      </c>
      <c r="C27" s="27"/>
      <c r="D27" s="27" t="s">
        <v>2272</v>
      </c>
      <c r="E27" s="27">
        <v>1</v>
      </c>
      <c r="F27" s="27">
        <f>Bilanca!I35</f>
        <v>26</v>
      </c>
      <c r="G27" s="27" t="str">
        <f>IF(Bilanca!J35=0,"",Bilanca!J35)</f>
        <v>5.3.2</v>
      </c>
      <c r="H27" s="224">
        <f t="shared" si="1"/>
        <v>1449303.7000000002</v>
      </c>
      <c r="I27" s="27">
        <f t="shared" si="2"/>
        <v>0</v>
      </c>
      <c r="J27" s="75">
        <f>Bilanca!K35</f>
        <v>2049487</v>
      </c>
      <c r="K27" s="76">
        <f>Bilanca!L35</f>
        <v>1762379</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307</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244420727.27999997</v>
      </c>
      <c r="I35" s="27">
        <f t="shared" si="2"/>
        <v>0</v>
      </c>
      <c r="J35" s="75">
        <f>Bilanca!K43</f>
        <v>226148428</v>
      </c>
      <c r="K35" s="76">
        <f>Bilanca!L43</f>
        <v>246368032</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5.4</v>
      </c>
      <c r="H36" s="224">
        <f t="shared" si="1"/>
        <v>36919458.8</v>
      </c>
      <c r="I36" s="77">
        <f t="shared" si="2"/>
        <v>0</v>
      </c>
      <c r="J36" s="75">
        <f>Bilanca!K44</f>
        <v>41255134</v>
      </c>
      <c r="K36" s="76">
        <f>Bilanca!L44</f>
        <v>32114517</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31209244.92</v>
      </c>
      <c r="I37" s="27">
        <f t="shared" si="2"/>
        <v>0</v>
      </c>
      <c r="J37" s="75">
        <f>Bilanca!K45</f>
        <v>33850555</v>
      </c>
      <c r="K37" s="76">
        <f>Bilanca!L45</f>
        <v>26420896</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5397400.53</v>
      </c>
      <c r="I38" s="77">
        <f t="shared" si="2"/>
        <v>0</v>
      </c>
      <c r="J38" s="75">
        <f>Bilanca!K46</f>
        <v>4367277</v>
      </c>
      <c r="K38" s="76">
        <f>Bilanca!L46</f>
        <v>5110146</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Siročić-Turčin Blaženka</v>
      </c>
      <c r="C39" s="27"/>
      <c r="D39" s="27" t="s">
        <v>2272</v>
      </c>
      <c r="E39" s="27">
        <v>1</v>
      </c>
      <c r="F39" s="27">
        <f>Bilanca!I47</f>
        <v>38</v>
      </c>
      <c r="G39" s="27">
        <f>IF(Bilanca!J47=0,"",Bilanca!J47)</f>
      </c>
      <c r="H39" s="224">
        <f t="shared" si="1"/>
        <v>712830.6000000001</v>
      </c>
      <c r="I39" s="27">
        <f t="shared" si="2"/>
        <v>0</v>
      </c>
      <c r="J39" s="75">
        <f>Bilanca!K47</f>
        <v>710976</v>
      </c>
      <c r="K39" s="76">
        <f>Bilanca!L47</f>
        <v>582447</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01 3657 734</v>
      </c>
      <c r="C40" s="27"/>
      <c r="D40" s="27" t="s">
        <v>2272</v>
      </c>
      <c r="E40" s="27">
        <v>1</v>
      </c>
      <c r="F40" s="27">
        <f>Bilanca!I48</f>
        <v>39</v>
      </c>
      <c r="G40" s="27">
        <f>IF(Bilanca!J48=0,"",Bilanca!J48)</f>
      </c>
      <c r="H40" s="224">
        <f t="shared" si="1"/>
        <v>908068.9799999999</v>
      </c>
      <c r="I40" s="77">
        <f t="shared" si="2"/>
        <v>0</v>
      </c>
      <c r="J40" s="75">
        <f>Bilanca!K48</f>
        <v>2326326</v>
      </c>
      <c r="K40" s="76">
        <f>Bilanca!L48</f>
        <v>1028</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01 3657 702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blazenka.sirocic@akd.hr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Perković - Škalic Anita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t="str">
        <f>IF(Bilanca!J52=0,"",Bilanca!J52)</f>
        <v>5.5</v>
      </c>
      <c r="H44" s="224">
        <f t="shared" si="1"/>
        <v>83803013.9</v>
      </c>
      <c r="I44" s="77">
        <f t="shared" si="2"/>
        <v>0</v>
      </c>
      <c r="J44" s="75">
        <f>Bilanca!K52</f>
        <v>62275646</v>
      </c>
      <c r="K44" s="76">
        <f>Bilanca!L52</f>
        <v>66307542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14700134.68</v>
      </c>
      <c r="I45" s="27">
        <f aca="true" t="shared" si="4" ref="I45:I60">ABS(ROUND(J45,0)-J45)+ABS(ROUND(K45,0)-K45)</f>
        <v>0</v>
      </c>
      <c r="J45" s="75">
        <f>Bilanca!K53</f>
        <v>2131631</v>
      </c>
      <c r="K45" s="76">
        <f>Bilanca!L53</f>
        <v>15638883</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63218098.35</v>
      </c>
      <c r="I46" s="77">
        <f t="shared" si="4"/>
        <v>0</v>
      </c>
      <c r="J46" s="75">
        <f>Bilanca!K54</f>
        <v>54309925</v>
      </c>
      <c r="K46" s="76">
        <f>Bilanca!L54</f>
        <v>43087369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531515.95</v>
      </c>
      <c r="I48" s="77">
        <f t="shared" si="4"/>
        <v>0</v>
      </c>
      <c r="J48" s="75">
        <f>Bilanca!K56</f>
        <v>413207</v>
      </c>
      <c r="K48" s="76">
        <f>Bilanca!L56</f>
        <v>358839</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4503935.52</v>
      </c>
      <c r="I49" s="27">
        <f t="shared" si="4"/>
        <v>0</v>
      </c>
      <c r="J49" s="75">
        <f>Bilanca!K57</f>
        <v>731341</v>
      </c>
      <c r="K49" s="76">
        <f>Bilanca!L57</f>
        <v>4325929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5136467.140000001</v>
      </c>
      <c r="I50" s="77">
        <f t="shared" si="4"/>
        <v>0</v>
      </c>
      <c r="J50" s="75">
        <f>Bilanca!K58</f>
        <v>4689542</v>
      </c>
      <c r="K50" s="76">
        <f>Bilanca!L58</f>
        <v>2896522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t="str">
        <f>IF(Bilanca!J59=0,"",Bilanca!J59)</f>
        <v>5.6</v>
      </c>
      <c r="H51" s="224">
        <f t="shared" si="3"/>
        <v>203694568.5</v>
      </c>
      <c r="I51" s="27">
        <f t="shared" si="4"/>
        <v>0</v>
      </c>
      <c r="J51" s="75">
        <f>Bilanca!K59</f>
        <v>118138021</v>
      </c>
      <c r="K51" s="76">
        <f>Bilanca!L59</f>
        <v>144625558</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227920000</v>
      </c>
      <c r="I57" s="27">
        <f t="shared" si="4"/>
        <v>0</v>
      </c>
      <c r="J57" s="75">
        <f>Bilanca!K65</f>
        <v>118000000</v>
      </c>
      <c r="K57" s="76">
        <f>Bilanca!L65</f>
        <v>144500000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221808.09</v>
      </c>
      <c r="I58" s="77">
        <f t="shared" si="4"/>
        <v>0</v>
      </c>
      <c r="J58" s="75">
        <f>Bilanca!K66</f>
        <v>138021</v>
      </c>
      <c r="K58" s="76">
        <f>Bilanca!L66</f>
        <v>125558</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12987911550.439997</v>
      </c>
      <c r="C59" s="27"/>
      <c r="D59" s="27" t="s">
        <v>2272</v>
      </c>
      <c r="E59" s="27">
        <v>1</v>
      </c>
      <c r="F59" s="27">
        <f>Bilanca!I67</f>
        <v>58</v>
      </c>
      <c r="G59" s="27" t="str">
        <f>IF(Bilanca!J67=0,"",Bilanca!J67)</f>
        <v>5.7</v>
      </c>
      <c r="H59" s="224">
        <f t="shared" si="3"/>
        <v>6449865.0600000005</v>
      </c>
      <c r="I59" s="27">
        <f t="shared" si="4"/>
        <v>0</v>
      </c>
      <c r="J59" s="75">
        <f>Bilanca!K67</f>
        <v>4479627</v>
      </c>
      <c r="K59" s="76">
        <f>Bilanca!L67</f>
        <v>3320415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t="str">
        <f>IF(Bilanca!J68=0,"",Bilanca!J68)</f>
        <v>5.8</v>
      </c>
      <c r="H60" s="224">
        <f t="shared" si="3"/>
        <v>1392481.42</v>
      </c>
      <c r="I60" s="77">
        <f t="shared" si="4"/>
        <v>0</v>
      </c>
      <c r="J60" s="75">
        <f>Bilanca!K68</f>
        <v>602074</v>
      </c>
      <c r="K60" s="76">
        <f>Bilanca!L68</f>
        <v>879032</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675663835.8</v>
      </c>
      <c r="I61" s="27">
        <f>ABS(ROUND(J61,0)-J61)+ABS(ROUND(K61,0)-K61)</f>
        <v>0</v>
      </c>
      <c r="J61" s="75">
        <f>Bilanca!K69</f>
        <v>365313767</v>
      </c>
      <c r="K61" s="76">
        <f>Bilanca!L69</f>
        <v>380396313</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DA</v>
      </c>
      <c r="C62" s="27"/>
      <c r="D62" s="27" t="s">
        <v>2272</v>
      </c>
      <c r="E62" s="27">
        <v>1</v>
      </c>
      <c r="F62" s="27">
        <f>Bilanca!I70</f>
        <v>61</v>
      </c>
      <c r="G62" s="27" t="str">
        <f>IF(Bilanca!J70=0,"",Bilanca!J70)</f>
        <v>5.16</v>
      </c>
      <c r="H62" s="224">
        <f>J62/100*F62+2*K62/100*F62</f>
        <v>8052161.04</v>
      </c>
      <c r="I62" s="77">
        <f>ABS(ROUND(J62,0)-J62)+ABS(ROUND(K62,0)-K62)</f>
        <v>0</v>
      </c>
      <c r="J62" s="75">
        <f>Bilanca!K70</f>
        <v>4968464</v>
      </c>
      <c r="K62" s="76">
        <f>Bilanca!L70</f>
        <v>4115900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76394522236</v>
      </c>
      <c r="C63" s="27"/>
      <c r="D63" s="27" t="s">
        <v>2272</v>
      </c>
      <c r="E63" s="27">
        <v>1</v>
      </c>
      <c r="F63" s="27">
        <f>Bilanca!I72</f>
        <v>62</v>
      </c>
      <c r="G63" s="27" t="str">
        <f>IF(Bilanca!J72=0,"",Bilanca!J72)</f>
        <v>5.9</v>
      </c>
      <c r="H63" s="224">
        <f>J63/100*F63+2*K63/100*F63</f>
        <v>619629656.64</v>
      </c>
      <c r="I63" s="27">
        <f>ABS(ROUND(J63,0)-J63)+ABS(ROUND(K63,0)-K63)</f>
        <v>0</v>
      </c>
      <c r="J63" s="75">
        <f>Bilanca!K72</f>
        <v>317253896</v>
      </c>
      <c r="K63" s="76">
        <f>Bilanca!L72</f>
        <v>341074388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t="str">
        <f>IF(Bilanca!J73=0,"",Bilanca!J73)</f>
        <v>5.10</v>
      </c>
      <c r="H64" s="224">
        <f>J64/100*F64+2*K64/100*F64</f>
        <v>398160000</v>
      </c>
      <c r="I64" s="27">
        <f>ABS(ROUND(J64,0)-J64)+ABS(ROUND(K64,0)-K64)</f>
        <v>0</v>
      </c>
      <c r="J64" s="75">
        <f>Bilanca!K73</f>
        <v>200000000</v>
      </c>
      <c r="K64" s="76">
        <f>Bilanca!L73</f>
        <v>216000000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t="str">
        <f>IF(Bilanca!J75=0,"",Bilanca!J75)</f>
        <v>5.11</v>
      </c>
      <c r="H66" s="224">
        <f t="shared" si="5"/>
        <v>153574522.4</v>
      </c>
      <c r="I66" s="27">
        <f t="shared" si="6"/>
        <v>0</v>
      </c>
      <c r="J66" s="75">
        <f>Bilanca!K75</f>
        <v>66152168</v>
      </c>
      <c r="K66" s="76">
        <f>Bilanca!L75</f>
        <v>85058164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165387947.20000002</v>
      </c>
      <c r="I71" s="27">
        <f t="shared" si="6"/>
        <v>0</v>
      </c>
      <c r="J71" s="75">
        <f>Bilanca!K80</f>
        <v>66152168</v>
      </c>
      <c r="K71" s="76">
        <f>Bilanca!L80</f>
        <v>85058164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98350632</v>
      </c>
      <c r="I76" s="27">
        <f t="shared" si="6"/>
        <v>0</v>
      </c>
      <c r="J76" s="75">
        <f>Bilanca!K85</f>
        <v>51101728</v>
      </c>
      <c r="K76" s="76">
        <f>Bilanca!L85</f>
        <v>40016224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99661973.75999999</v>
      </c>
      <c r="I77" s="27">
        <f t="shared" si="6"/>
        <v>0</v>
      </c>
      <c r="J77" s="75">
        <f>Bilanca!K86</f>
        <v>51101728</v>
      </c>
      <c r="K77" s="76">
        <f>Bilanca!L86</f>
        <v>40016224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t="str">
        <f>IF(Bilanca!J89=0,"",Bilanca!J89)</f>
        <v>5.12</v>
      </c>
      <c r="H80" s="224">
        <f t="shared" si="5"/>
        <v>9889371.68</v>
      </c>
      <c r="I80" s="27">
        <f t="shared" si="6"/>
        <v>0</v>
      </c>
      <c r="J80" s="75">
        <f>Bilanca!K89</f>
        <v>1938264</v>
      </c>
      <c r="K80" s="76">
        <f>Bilanca!L89</f>
        <v>5289964</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3334553.5999999996</v>
      </c>
      <c r="I81" s="27">
        <f t="shared" si="6"/>
        <v>0</v>
      </c>
      <c r="J81" s="75">
        <f>Bilanca!K90</f>
        <v>1288264</v>
      </c>
      <c r="K81" s="76">
        <f>Bilanca!L90</f>
        <v>1439964</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6847000</v>
      </c>
      <c r="I83" s="27">
        <f t="shared" si="6"/>
        <v>0</v>
      </c>
      <c r="J83" s="75">
        <f>Bilanca!K92</f>
        <v>650000</v>
      </c>
      <c r="K83" s="76">
        <f>Bilanca!L92</f>
        <v>3850000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5958824.8100000005</v>
      </c>
      <c r="I84" s="27">
        <f t="shared" si="6"/>
        <v>0</v>
      </c>
      <c r="J84" s="75">
        <f>Bilanca!K93</f>
        <v>4363267</v>
      </c>
      <c r="K84" s="76">
        <f>Bilanca!L93</f>
        <v>1408020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t="str">
        <f>IF(Bilanca!J96=0,"",Bilanca!J96)</f>
        <v>5.13</v>
      </c>
      <c r="H87" s="224">
        <f t="shared" si="5"/>
        <v>6174204.02</v>
      </c>
      <c r="I87" s="27">
        <f t="shared" si="6"/>
        <v>0</v>
      </c>
      <c r="J87" s="75">
        <f>Bilanca!K96</f>
        <v>4363267</v>
      </c>
      <c r="K87" s="76">
        <f>Bilanca!L96</f>
        <v>1408020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t="str">
        <f>IF(Bilanca!J103=0,"",Bilanca!J103)</f>
        <v>5.14</v>
      </c>
      <c r="H94" s="224">
        <f t="shared" si="5"/>
        <v>94058959.38</v>
      </c>
      <c r="I94" s="27">
        <f t="shared" si="6"/>
        <v>0</v>
      </c>
      <c r="J94" s="75">
        <f>Bilanca!K103</f>
        <v>39982310</v>
      </c>
      <c r="K94" s="76">
        <f>Bilanca!L103</f>
        <v>30578178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6407358.66</v>
      </c>
      <c r="I95" s="27">
        <f t="shared" si="6"/>
        <v>0</v>
      </c>
      <c r="J95" s="75">
        <f>Bilanca!K104</f>
        <v>195735</v>
      </c>
      <c r="K95" s="76">
        <f>Bilanca!L104</f>
        <v>3310302</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1227983.3</v>
      </c>
      <c r="I96" s="27">
        <f t="shared" si="6"/>
        <v>0</v>
      </c>
      <c r="J96" s="75">
        <f>Bilanca!K105</f>
        <v>1292614</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8558328</v>
      </c>
      <c r="I97" s="27">
        <f t="shared" si="6"/>
        <v>0</v>
      </c>
      <c r="J97" s="75">
        <f>Bilanca!K106</f>
        <v>2955247</v>
      </c>
      <c r="K97" s="76">
        <f>Bilanca!L106</f>
        <v>2979839</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499324.95999999996</v>
      </c>
      <c r="I98" s="27">
        <f t="shared" si="6"/>
        <v>0</v>
      </c>
      <c r="J98" s="75">
        <f>Bilanca!K107</f>
        <v>152228</v>
      </c>
      <c r="K98" s="76">
        <f>Bilanca!L107</f>
        <v>181270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36963597.86</v>
      </c>
      <c r="I99" s="27">
        <f aca="true" t="shared" si="9" ref="I99:I107">ABS(ROUND(J99,0)-J99)+ABS(ROUND(K99,0)-K99)</f>
        <v>0</v>
      </c>
      <c r="J99" s="75">
        <f>Bilanca!K108</f>
        <v>19834023</v>
      </c>
      <c r="K99" s="76">
        <f>Bilanca!L108</f>
        <v>8941967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8432639.48</v>
      </c>
      <c r="I102" s="27">
        <f t="shared" si="9"/>
        <v>0</v>
      </c>
      <c r="J102" s="75">
        <f>Bilanca!K111</f>
        <v>3094710</v>
      </c>
      <c r="K102" s="76">
        <f>Bilanca!L111</f>
        <v>2627219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15518627.82</v>
      </c>
      <c r="I103" s="27">
        <f t="shared" si="9"/>
        <v>0</v>
      </c>
      <c r="J103" s="75">
        <f>Bilanca!K112</f>
        <v>5000767</v>
      </c>
      <c r="K103" s="76">
        <f>Bilanca!L112</f>
        <v>5106787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23434502.7</v>
      </c>
      <c r="I106" s="27">
        <f t="shared" si="9"/>
        <v>0</v>
      </c>
      <c r="J106" s="75">
        <f>Bilanca!K115</f>
        <v>7456986</v>
      </c>
      <c r="K106" s="76">
        <f>Bilanca!L115</f>
        <v>7430794</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5.15</v>
      </c>
      <c r="H107" s="224">
        <f t="shared" si="8"/>
        <v>6219609.36</v>
      </c>
      <c r="I107" s="27">
        <f t="shared" si="9"/>
        <v>0</v>
      </c>
      <c r="J107" s="75">
        <f>Bilanca!K116</f>
        <v>1776030</v>
      </c>
      <c r="K107" s="76">
        <f>Bilanca!L116</f>
        <v>2045763</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1204933840.51</v>
      </c>
      <c r="I108" s="27">
        <f aca="true" t="shared" si="11" ref="I108:I113">ABS(ROUND(J108,0)-J108)+ABS(ROUND(K108,0)-K108)</f>
        <v>0</v>
      </c>
      <c r="J108" s="75">
        <f>Bilanca!K117</f>
        <v>365313767</v>
      </c>
      <c r="K108" s="76">
        <f>Bilanca!L117</f>
        <v>380396313</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t="str">
        <f>IF(Bilanca!J118=0,"",Bilanca!J118)</f>
        <v>5.16</v>
      </c>
      <c r="H109" s="224">
        <f t="shared" si="10"/>
        <v>14256285.120000001</v>
      </c>
      <c r="I109" s="27">
        <f t="shared" si="11"/>
        <v>0</v>
      </c>
      <c r="J109" s="75">
        <f>Bilanca!K118</f>
        <v>4968464</v>
      </c>
      <c r="K109" s="76">
        <f>Bilanca!L118</f>
        <v>4115900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t="str">
        <f>IF(RDG!J9=0,"",RDG!J9)</f>
        <v>4.1</v>
      </c>
      <c r="H112" s="224">
        <f t="shared" si="10"/>
        <v>735345343.02</v>
      </c>
      <c r="I112" s="27">
        <f t="shared" si="11"/>
        <v>0</v>
      </c>
      <c r="J112" s="75">
        <f>RDG!K9</f>
        <v>211644766</v>
      </c>
      <c r="K112" s="76">
        <f>RDG!L9</f>
        <v>225414258</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t="str">
        <f>IF(RDG!J10=0,"",RDG!J10)</f>
        <v>4.1.1</v>
      </c>
      <c r="H113" s="224">
        <f t="shared" si="10"/>
        <v>702670110.24</v>
      </c>
      <c r="I113" s="27">
        <f t="shared" si="11"/>
        <v>0</v>
      </c>
      <c r="J113" s="75">
        <f>RDG!K10</f>
        <v>201077043</v>
      </c>
      <c r="K113" s="76">
        <f>RDG!L10</f>
        <v>213153492</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t="str">
        <f>IF(RDG!J11=0,"",RDG!J11)</f>
        <v>4.1.2</v>
      </c>
      <c r="H114" s="224">
        <f aca="true" t="shared" si="12" ref="H114:H158">J114/100*F114+2*K114/100*F114</f>
        <v>39650858.15</v>
      </c>
      <c r="I114" s="27">
        <f aca="true" t="shared" si="13" ref="I114:I158">ABS(ROUND(J114,0)-J114)+ABS(ROUND(K114,0)-K114)</f>
        <v>0</v>
      </c>
      <c r="J114" s="75">
        <f>RDG!K11</f>
        <v>10567723</v>
      </c>
      <c r="K114" s="76">
        <f>RDG!L11</f>
        <v>12260766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t="str">
        <f>IF(RDG!J12=0,"",RDG!J12)</f>
        <v>4.3</v>
      </c>
      <c r="H115" s="224">
        <f t="shared" si="12"/>
        <v>625070741.52</v>
      </c>
      <c r="I115" s="27">
        <f t="shared" si="13"/>
        <v>0</v>
      </c>
      <c r="J115" s="75">
        <f>RDG!K12</f>
        <v>178661496</v>
      </c>
      <c r="K115" s="76">
        <f>RDG!L12</f>
        <v>184823086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t="str">
        <f>IF(RDG!J13=0,"",RDG!J13)</f>
        <v>4.3.1</v>
      </c>
      <c r="H116" s="224">
        <f t="shared" si="12"/>
        <v>-9944619.25</v>
      </c>
      <c r="I116" s="27">
        <f t="shared" si="13"/>
        <v>0</v>
      </c>
      <c r="J116" s="75">
        <f>RDG!K13</f>
        <v>-908429</v>
      </c>
      <c r="K116" s="76">
        <f>RDG!L13</f>
        <v>-3869533</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4.3.2</v>
      </c>
      <c r="H117" s="224">
        <f t="shared" si="12"/>
        <v>314073116.91999996</v>
      </c>
      <c r="I117" s="27">
        <f t="shared" si="13"/>
        <v>0</v>
      </c>
      <c r="J117" s="75">
        <f>RDG!K14</f>
        <v>85686947</v>
      </c>
      <c r="K117" s="76">
        <f>RDG!L14</f>
        <v>92532870</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t="str">
        <f>IF(RDG!J15=0,"",RDG!J15)</f>
        <v>4.3.2a</v>
      </c>
      <c r="H118" s="224">
        <f t="shared" si="12"/>
        <v>201347465.67</v>
      </c>
      <c r="I118" s="27">
        <f t="shared" si="13"/>
        <v>0</v>
      </c>
      <c r="J118" s="75">
        <f>RDG!K15</f>
        <v>52381475</v>
      </c>
      <c r="K118" s="76">
        <f>RDG!L15</f>
        <v>59855188</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14850482.9</v>
      </c>
      <c r="I119" s="27">
        <f t="shared" si="13"/>
        <v>0</v>
      </c>
      <c r="J119" s="75">
        <f>RDG!K16</f>
        <v>649975</v>
      </c>
      <c r="K119" s="76">
        <f>RDG!L16</f>
        <v>5967590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t="str">
        <f>IF(RDG!J17=0,"",RDG!J17)</f>
        <v>4.3.2b</v>
      </c>
      <c r="H120" s="224">
        <f t="shared" si="12"/>
        <v>102430060.38999999</v>
      </c>
      <c r="I120" s="27">
        <f t="shared" si="13"/>
        <v>0</v>
      </c>
      <c r="J120" s="75">
        <f>RDG!K17</f>
        <v>32655497</v>
      </c>
      <c r="K120" s="76">
        <f>RDG!L17</f>
        <v>26710092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4.3.3</v>
      </c>
      <c r="H121" s="224">
        <f t="shared" si="12"/>
        <v>209277438</v>
      </c>
      <c r="I121" s="27">
        <f t="shared" si="13"/>
        <v>0</v>
      </c>
      <c r="J121" s="75">
        <f>RDG!K18</f>
        <v>60538365</v>
      </c>
      <c r="K121" s="76">
        <f>RDG!L18</f>
        <v>56929750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116098557.41</v>
      </c>
      <c r="I122" s="27">
        <f t="shared" si="13"/>
        <v>0</v>
      </c>
      <c r="J122" s="75">
        <f>RDG!K19</f>
        <v>32728889</v>
      </c>
      <c r="K122" s="76">
        <f>RDG!L19</f>
        <v>31610166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67237107.26</v>
      </c>
      <c r="I123" s="27">
        <f t="shared" si="13"/>
        <v>0</v>
      </c>
      <c r="J123" s="75">
        <f>RDG!K20</f>
        <v>19530403</v>
      </c>
      <c r="K123" s="76">
        <f>RDG!L20</f>
        <v>17790990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28703601.03</v>
      </c>
      <c r="I124" s="27">
        <f t="shared" si="13"/>
        <v>0</v>
      </c>
      <c r="J124" s="75">
        <f>RDG!K21</f>
        <v>8279073</v>
      </c>
      <c r="K124" s="76">
        <f>RDG!L21</f>
        <v>7528594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t="str">
        <f>IF(RDG!J22=0,"",RDG!J22)</f>
        <v>4.3.4</v>
      </c>
      <c r="H125" s="224">
        <f t="shared" si="12"/>
        <v>68249380.52</v>
      </c>
      <c r="I125" s="27">
        <f t="shared" si="13"/>
        <v>0</v>
      </c>
      <c r="J125" s="75">
        <f>RDG!K22</f>
        <v>19219881</v>
      </c>
      <c r="K125" s="76">
        <f>RDG!L22</f>
        <v>17909971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t="str">
        <f>IF(RDG!J23=0,"",RDG!J23)</f>
        <v>4.3.5</v>
      </c>
      <c r="H126" s="224">
        <f t="shared" si="12"/>
        <v>30180457.5</v>
      </c>
      <c r="I126" s="27">
        <f t="shared" si="13"/>
        <v>0</v>
      </c>
      <c r="J126" s="75">
        <f>RDG!K23</f>
        <v>8947024</v>
      </c>
      <c r="K126" s="76">
        <f>RDG!L23</f>
        <v>7598671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t="str">
        <f>IF(RDG!J24=0,"",RDG!J24)</f>
        <v>4.3.6</v>
      </c>
      <c r="H127" s="224">
        <f t="shared" si="12"/>
        <v>16288036.38</v>
      </c>
      <c r="I127" s="27">
        <f t="shared" si="13"/>
        <v>0</v>
      </c>
      <c r="J127" s="75">
        <f>RDG!K24</f>
        <v>2099011</v>
      </c>
      <c r="K127" s="76">
        <f>RDG!L24</f>
        <v>5414001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16546576.64</v>
      </c>
      <c r="I129" s="27">
        <f t="shared" si="13"/>
        <v>0</v>
      </c>
      <c r="J129" s="75">
        <f>RDG!K26</f>
        <v>2099011</v>
      </c>
      <c r="K129" s="76">
        <f>RDG!L26</f>
        <v>5414001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t="str">
        <f>IF(RDG!J27=0,"",RDG!J27)</f>
        <v>4.3.7</v>
      </c>
      <c r="H130" s="224">
        <f t="shared" si="12"/>
        <v>17110490.34</v>
      </c>
      <c r="I130" s="27">
        <f t="shared" si="13"/>
        <v>0</v>
      </c>
      <c r="J130" s="75">
        <f>RDG!K27</f>
        <v>2205020</v>
      </c>
      <c r="K130" s="76">
        <f>RDG!L27</f>
        <v>5529463</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t="str">
        <f>IF(RDG!J28=0,"",RDG!J28)</f>
        <v>4.3.8</v>
      </c>
      <c r="H131" s="224">
        <f t="shared" si="12"/>
        <v>8358301.9</v>
      </c>
      <c r="I131" s="27">
        <f t="shared" si="13"/>
        <v>0</v>
      </c>
      <c r="J131" s="75">
        <f>RDG!K28</f>
        <v>873677</v>
      </c>
      <c r="K131" s="76">
        <f>RDG!L28</f>
        <v>2777893</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4.2</v>
      </c>
      <c r="H132" s="224">
        <f t="shared" si="12"/>
        <v>50225380.35</v>
      </c>
      <c r="I132" s="27">
        <f t="shared" si="13"/>
        <v>0</v>
      </c>
      <c r="J132" s="75">
        <f>RDG!K29</f>
        <v>24650903</v>
      </c>
      <c r="K132" s="76">
        <f>RDG!L29</f>
        <v>6844541</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206244.72</v>
      </c>
      <c r="I133" s="27">
        <f t="shared" si="13"/>
        <v>0</v>
      </c>
      <c r="J133" s="75">
        <f>RDG!K30</f>
        <v>149918</v>
      </c>
      <c r="K133" s="76">
        <f>RDG!L30</f>
        <v>3164</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24112556.86</v>
      </c>
      <c r="I134" s="27">
        <f t="shared" si="13"/>
        <v>0</v>
      </c>
      <c r="J134" s="75">
        <f>RDG!K31</f>
        <v>5594988</v>
      </c>
      <c r="K134" s="76">
        <f>RDG!L31</f>
        <v>6267377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26872355.98</v>
      </c>
      <c r="I135" s="27">
        <f t="shared" si="13"/>
        <v>0</v>
      </c>
      <c r="J135" s="75">
        <f>RDG!K32</f>
        <v>18905997</v>
      </c>
      <c r="K135" s="76">
        <f>RDG!L32</f>
        <v>574000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4.4</v>
      </c>
      <c r="H138" s="224">
        <f t="shared" si="12"/>
        <v>4172940.54</v>
      </c>
      <c r="I138" s="27">
        <f t="shared" si="13"/>
        <v>0</v>
      </c>
      <c r="J138" s="75">
        <f>RDG!K35</f>
        <v>1089130</v>
      </c>
      <c r="K138" s="76">
        <f>RDG!L35</f>
        <v>978406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4233859.38</v>
      </c>
      <c r="I140" s="27">
        <f t="shared" si="13"/>
        <v>0</v>
      </c>
      <c r="J140" s="75">
        <f>RDG!K37</f>
        <v>1089130</v>
      </c>
      <c r="K140" s="76">
        <f>RDG!L37</f>
        <v>978406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1023187369.82</v>
      </c>
      <c r="I147" s="27">
        <f t="shared" si="13"/>
        <v>0</v>
      </c>
      <c r="J147" s="75">
        <f>RDG!K44</f>
        <v>236295669</v>
      </c>
      <c r="K147" s="76">
        <f>RDG!L44</f>
        <v>232258799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810489806.7</v>
      </c>
      <c r="I148" s="27">
        <f t="shared" si="13"/>
        <v>0</v>
      </c>
      <c r="J148" s="75">
        <f>RDG!K45</f>
        <v>179750626</v>
      </c>
      <c r="K148" s="76">
        <f>RDG!L45</f>
        <v>185801492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221200292.36</v>
      </c>
      <c r="I149" s="27">
        <f t="shared" si="13"/>
        <v>0</v>
      </c>
      <c r="J149" s="75">
        <f>RDG!K46</f>
        <v>56545043</v>
      </c>
      <c r="K149" s="76">
        <f>RDG!L46</f>
        <v>46457307</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222694888.93</v>
      </c>
      <c r="I150" s="27">
        <f t="shared" si="13"/>
        <v>0</v>
      </c>
      <c r="J150" s="75">
        <f>RDG!K47</f>
        <v>56545043</v>
      </c>
      <c r="K150" s="76">
        <f>RDG!L47</f>
        <v>46457307</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t="str">
        <f>IF(RDG!J49=0,"",RDG!J49)</f>
        <v>4.5</v>
      </c>
      <c r="H152" s="224">
        <f t="shared" si="12"/>
        <v>27671476.310000002</v>
      </c>
      <c r="I152" s="27">
        <f t="shared" si="13"/>
        <v>0</v>
      </c>
      <c r="J152" s="75">
        <f>RDG!K49</f>
        <v>5443315</v>
      </c>
      <c r="K152" s="76">
        <f>RDG!L49</f>
        <v>6441083</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199323947.51999998</v>
      </c>
      <c r="I153" s="27">
        <f t="shared" si="13"/>
        <v>0</v>
      </c>
      <c r="J153" s="75">
        <f>RDG!K50</f>
        <v>51101728</v>
      </c>
      <c r="K153" s="76">
        <f>RDG!L50</f>
        <v>40016224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200635289.28</v>
      </c>
      <c r="I154" s="27">
        <f t="shared" si="13"/>
        <v>0</v>
      </c>
      <c r="J154" s="75">
        <f>RDG!K51</f>
        <v>51101728</v>
      </c>
      <c r="K154" s="76">
        <f>RDG!L51</f>
        <v>40016224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t="str">
        <f>IF(RDG!J58=0,"",RDG!J58)</f>
        <v>4.5</v>
      </c>
      <c r="H158" s="224">
        <f t="shared" si="12"/>
        <v>205880656.32</v>
      </c>
      <c r="I158" s="27">
        <f t="shared" si="13"/>
        <v>0</v>
      </c>
      <c r="J158" s="75">
        <f>RDG!K58</f>
        <v>51101728</v>
      </c>
      <c r="K158" s="76">
        <f>RDG!L58</f>
        <v>40016224</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t="str">
        <f>IF(RDG!J69=0,"",RDG!J69)</f>
        <v>4.5</v>
      </c>
      <c r="H169" s="224">
        <f t="shared" si="14"/>
        <v>220305415.68</v>
      </c>
      <c r="I169" s="27">
        <f t="shared" si="15"/>
        <v>0</v>
      </c>
      <c r="J169" s="75">
        <f>RDG!K69</f>
        <v>51101728</v>
      </c>
      <c r="K169" s="76">
        <f>RDG!L69</f>
        <v>40016224</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t="str">
        <f>IF(NT_I!J10&lt;&gt;"",NT_I!J10,"")</f>
        <v>4.5</v>
      </c>
      <c r="H304" s="224">
        <f aca="true" t="shared" si="22" ref="H304:H346">J304/100*F304+2*K304/100*F304</f>
        <v>1494596.57</v>
      </c>
      <c r="I304" s="27">
        <f aca="true" t="shared" si="23" ref="I304:I347">ABS(ROUND(J304,0)-J304)+ABS(ROUND(K304,0)-K304)</f>
        <v>0</v>
      </c>
      <c r="J304" s="75">
        <f>NT_I!K10</f>
        <v>56545043</v>
      </c>
      <c r="K304" s="76">
        <f>NT_I!L10</f>
        <v>46457307</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t="str">
        <f>IF(NT_I!J11&lt;&gt;"",NT_I!J11,"")</f>
        <v>4.3.4</v>
      </c>
      <c r="H305" s="224">
        <f t="shared" si="22"/>
        <v>1100796.46</v>
      </c>
      <c r="I305" s="27">
        <f t="shared" si="23"/>
        <v>0</v>
      </c>
      <c r="J305" s="75">
        <f>NT_I!K11</f>
        <v>19219881</v>
      </c>
      <c r="K305" s="76">
        <f>NT_I!L11</f>
        <v>17909971</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162561.87</v>
      </c>
      <c r="I306" s="27">
        <f t="shared" si="23"/>
        <v>0</v>
      </c>
      <c r="J306" s="75">
        <f>NT_I!K12</f>
        <v>5418729</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t="str">
        <f>IF(NT_I!J14&lt;&gt;"",NT_I!J14,"")</f>
        <v>5.4</v>
      </c>
      <c r="H308" s="224">
        <f t="shared" si="22"/>
        <v>1352475.2999999998</v>
      </c>
      <c r="I308" s="27">
        <f t="shared" si="23"/>
        <v>0</v>
      </c>
      <c r="J308" s="75">
        <f>NT_I!K14</f>
        <v>8768272</v>
      </c>
      <c r="K308" s="76">
        <f>NT_I!L14</f>
        <v>9140617</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t="str">
        <f>IF(NT_I!J15&lt;&gt;"",NT_I!J15,"")</f>
        <v>5.12,4.2</v>
      </c>
      <c r="H309" s="224">
        <f t="shared" si="22"/>
        <v>2345515.26</v>
      </c>
      <c r="I309" s="27">
        <f t="shared" si="23"/>
        <v>0</v>
      </c>
      <c r="J309" s="75">
        <f>NT_I!K15</f>
        <v>7912641</v>
      </c>
      <c r="K309" s="76">
        <f>NT_I!L15</f>
        <v>15589640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19324174.52</v>
      </c>
      <c r="I310" s="27">
        <f t="shared" si="23"/>
        <v>0</v>
      </c>
      <c r="J310" s="75">
        <f>NT_I!K16</f>
        <v>97864566</v>
      </c>
      <c r="K310" s="76">
        <f>NT_I!L16</f>
        <v>89097535</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t="str">
        <f>IF(NT_I!J17&lt;&gt;"",NT_I!J17,"")</f>
        <v>5.14,5.15</v>
      </c>
      <c r="H311" s="224">
        <f t="shared" si="22"/>
        <v>1258620.32</v>
      </c>
      <c r="I311" s="27">
        <f t="shared" si="23"/>
        <v>0</v>
      </c>
      <c r="J311" s="75">
        <f>NT_I!K17</f>
        <v>0</v>
      </c>
      <c r="K311" s="76">
        <f>NT_I!L17</f>
        <v>7866377</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t="str">
        <f>IF(NT_I!J18&lt;&gt;"",NT_I!J18,"")</f>
        <v>5.5</v>
      </c>
      <c r="H312" s="224">
        <f t="shared" si="22"/>
        <v>1878558.84</v>
      </c>
      <c r="I312" s="27">
        <f t="shared" si="23"/>
        <v>0</v>
      </c>
      <c r="J312" s="75">
        <f>NT_I!K18</f>
        <v>12809084</v>
      </c>
      <c r="K312" s="76">
        <f>NT_I!L18</f>
        <v>4031896</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t="str">
        <f>IF(NT_I!J20&lt;&gt;"",NT_I!J20,"")</f>
        <v>4.2,4.4</v>
      </c>
      <c r="H314" s="224">
        <f t="shared" si="22"/>
        <v>8097035.1</v>
      </c>
      <c r="I314" s="27">
        <f t="shared" si="23"/>
        <v>0</v>
      </c>
      <c r="J314" s="75">
        <f>NT_I!K20</f>
        <v>36786392</v>
      </c>
      <c r="K314" s="76">
        <f>NT_I!L20</f>
        <v>18411509</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13225804.8</v>
      </c>
      <c r="I315" s="27">
        <f t="shared" si="23"/>
        <v>0</v>
      </c>
      <c r="J315" s="75">
        <f>NT_I!K21</f>
        <v>49595476</v>
      </c>
      <c r="K315" s="76">
        <f>NT_I!L21</f>
        <v>30309782</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21559797.48</v>
      </c>
      <c r="I316" s="27">
        <f t="shared" si="23"/>
        <v>0</v>
      </c>
      <c r="J316" s="75">
        <f>NT_I!K22</f>
        <v>48269090</v>
      </c>
      <c r="K316" s="76">
        <f>NT_I!L22</f>
        <v>58787753</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t="str">
        <f>IF(NT_I!J29&lt;&gt;"",NT_I!J29,"")</f>
        <v>5.2</v>
      </c>
      <c r="H322" s="224">
        <f t="shared" si="22"/>
        <v>275306.39</v>
      </c>
      <c r="I322" s="27">
        <f t="shared" si="23"/>
        <v>0</v>
      </c>
      <c r="J322" s="75">
        <f>NT_I!K29</f>
        <v>874765</v>
      </c>
      <c r="K322" s="76">
        <f>NT_I!L29</f>
        <v>287108</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289796.2</v>
      </c>
      <c r="I323" s="27">
        <f t="shared" si="23"/>
        <v>0</v>
      </c>
      <c r="J323" s="75">
        <f>NT_I!K30</f>
        <v>874765</v>
      </c>
      <c r="K323" s="76">
        <f>NT_I!L30</f>
        <v>287108</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t="str">
        <f>IF(NT_I!J31&lt;&gt;"",NT_I!J31,"")</f>
        <v>5.1,5.2</v>
      </c>
      <c r="H324" s="224">
        <f t="shared" si="22"/>
        <v>8748390.21</v>
      </c>
      <c r="I324" s="27">
        <f t="shared" si="23"/>
        <v>0</v>
      </c>
      <c r="J324" s="75">
        <f>NT_I!K31</f>
        <v>15003931</v>
      </c>
      <c r="K324" s="76">
        <f>NT_I!L31</f>
        <v>13327535</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t="str">
        <f>IF(NT_I!J33&lt;&gt;"",NT_I!J33,"")</f>
        <v>5.6,5.3.1</v>
      </c>
      <c r="H326" s="224">
        <f t="shared" si="22"/>
        <v>16325116.64</v>
      </c>
      <c r="I326" s="27">
        <f t="shared" si="23"/>
        <v>0</v>
      </c>
      <c r="J326" s="75">
        <f>NT_I!K33</f>
        <v>18003694</v>
      </c>
      <c r="K326" s="76">
        <f>NT_I!L33</f>
        <v>26487537</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27033064.56</v>
      </c>
      <c r="I327" s="27">
        <f t="shared" si="23"/>
        <v>0</v>
      </c>
      <c r="J327" s="75">
        <f>NT_I!K34</f>
        <v>33007625</v>
      </c>
      <c r="K327" s="76">
        <f>NT_I!L34</f>
        <v>39815072</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28909084.880000003</v>
      </c>
      <c r="I329" s="27">
        <f t="shared" si="23"/>
        <v>0</v>
      </c>
      <c r="J329" s="75">
        <f>NT_I!K36</f>
        <v>32132860</v>
      </c>
      <c r="K329" s="76">
        <f>NT_I!L36</f>
        <v>39527964</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t="str">
        <f>IF(NT_I!J42&lt;&gt;"",NT_I!J42,"")</f>
        <v>5.13</v>
      </c>
      <c r="H334" s="224">
        <f t="shared" si="22"/>
        <v>4812723.65</v>
      </c>
      <c r="I334" s="27">
        <f t="shared" si="23"/>
        <v>0</v>
      </c>
      <c r="J334" s="75">
        <f>NT_I!K42</f>
        <v>7078377</v>
      </c>
      <c r="K334" s="76">
        <f>NT_I!L42</f>
        <v>4223269</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14634002.25</v>
      </c>
      <c r="I338" s="27">
        <f t="shared" si="23"/>
        <v>0</v>
      </c>
      <c r="J338" s="75">
        <f>NT_I!K46</f>
        <v>9419971</v>
      </c>
      <c r="K338" s="76">
        <f>NT_I!L46</f>
        <v>16195732</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20641086</v>
      </c>
      <c r="I339" s="27">
        <f t="shared" si="23"/>
        <v>0</v>
      </c>
      <c r="J339" s="75">
        <f>NT_I!K47</f>
        <v>16498348</v>
      </c>
      <c r="K339" s="76">
        <f>NT_I!L47</f>
        <v>20419001</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21787813</v>
      </c>
      <c r="I341" s="27">
        <f t="shared" si="23"/>
        <v>0</v>
      </c>
      <c r="J341" s="75">
        <f>NT_I!K49</f>
        <v>16498348</v>
      </c>
      <c r="K341" s="76">
        <f>NT_I!L49</f>
        <v>20419001</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1072216.8</v>
      </c>
      <c r="I343" s="27">
        <f t="shared" si="23"/>
        <v>0</v>
      </c>
      <c r="J343" s="75">
        <f>NT_I!K51</f>
        <v>362118</v>
      </c>
      <c r="K343" s="76">
        <f>NT_I!L51</f>
        <v>1159212</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5658409.59</v>
      </c>
      <c r="I344" s="27">
        <f t="shared" si="23"/>
        <v>0</v>
      </c>
      <c r="J344" s="75">
        <f>NT_I!K52</f>
        <v>4841745</v>
      </c>
      <c r="K344" s="76">
        <f>NT_I!L52</f>
        <v>4479627</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69654730.32000001</v>
      </c>
      <c r="I345" s="27">
        <f t="shared" si="23"/>
        <v>0</v>
      </c>
      <c r="J345" s="75">
        <f>NT_I!K53</f>
        <v>48269090</v>
      </c>
      <c r="K345" s="76">
        <f>NT_I!L53</f>
        <v>58787753</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72465809.34</v>
      </c>
      <c r="I346" s="27">
        <f t="shared" si="23"/>
        <v>0</v>
      </c>
      <c r="J346" s="75">
        <f>NT_I!K54</f>
        <v>48631208</v>
      </c>
      <c r="K346" s="76">
        <f>NT_I!L54</f>
        <v>59946965</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t="str">
        <f>IF(NT_I!J55&lt;&gt;"",NT_I!J55,"")</f>
        <v>5.7</v>
      </c>
      <c r="H347" s="224">
        <f aca="true" t="shared" si="24" ref="H347:H392">J347/100*F347+2*K347/100*F347</f>
        <v>4893001.08</v>
      </c>
      <c r="I347" s="27">
        <f t="shared" si="23"/>
        <v>0</v>
      </c>
      <c r="J347" s="75">
        <f>NT_I!K55</f>
        <v>4479627</v>
      </c>
      <c r="K347" s="76">
        <f>NT_I!L55</f>
        <v>3320415</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03751970; Agencija za komercijalnu djelatnost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1"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1</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1</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3, a upisana veličina je 3</v>
      </c>
      <c r="D55" s="630"/>
      <c r="E55" s="630"/>
      <c r="F55" s="630"/>
      <c r="G55" s="630"/>
      <c r="H55" s="630"/>
      <c r="I55" s="630"/>
      <c r="J55" s="630"/>
      <c r="L55" s="35">
        <f>IF(Opci!C47=M55,0,1)</f>
        <v>0</v>
      </c>
      <c r="M55" s="131">
        <f>1+N55+O55</f>
        <v>3</v>
      </c>
      <c r="N55" s="132">
        <f>IF(Q55+R55+S55&gt;1,1,0)</f>
        <v>1</v>
      </c>
      <c r="O55" s="133">
        <f>IF(U55+V55+W55&gt;1,1,0)</f>
        <v>1</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1</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AKD@AKD.HR</v>
      </c>
      <c r="N59" s="201" t="str">
        <f>UPPER(TRIM(Opci!C69))</f>
        <v>BLAZENKA.SIROCIC@AKD.HR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\\mars\Domain_homes\bsirocic\Documents\TEMELJNI FINANCIJSKI IZVJEŠTAJI 2013 NOVO\[GFI-POD ver. 2.0.4.xls]Opci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2.337228714524207</v>
      </c>
      <c r="P92">
        <f>IF(Opci!E53+Opci!E55&gt;20,ABS(Opci!E53-Opci!E55)/(Opci!E53+Opci!E55)*200,0)</f>
        <v>1.2944983818770228</v>
      </c>
      <c r="Q92">
        <f>IF(Opci!C53+Opci!E53&gt;20,ABS(Opci!C53-Opci!E53)/(Opci!C53+Opci!E53)*200,0)</f>
        <v>4.942339373970346</v>
      </c>
      <c r="R92">
        <f>IF(Opci!C55+Opci!E55,ABS(Opci!C55-Opci!E55)/(Opci!C55+Opci!E55)*200,0)</f>
        <v>1.3114754098360655</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Agencija za komercijalnu djela</v>
      </c>
      <c r="B21" s="250"/>
      <c r="C21" s="250"/>
      <c r="D21" s="250"/>
      <c r="E21" s="250"/>
      <c r="F21" s="250"/>
      <c r="G21" s="250"/>
      <c r="H21" s="251"/>
      <c r="I21" s="252"/>
      <c r="J21" s="253"/>
    </row>
    <row r="22" spans="1:10" ht="13.5" customHeight="1">
      <c r="A22" s="255" t="str">
        <f>IF(Opci!C29&lt;&gt;"",MID(Opci!C29,1,30),"")</f>
        <v>Savska cesta 31.</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5 8 8 4 3 0 8 7 8 9 1</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51" activePane="bottomLeft" state="frozen"/>
      <selection pane="topLeft" activeCell="A1" sqref="A1"/>
      <selection pane="bottomLeft" activeCell="L71" sqref="L7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375197</v>
      </c>
      <c r="T2" s="192">
        <f>INT(VALUE(C21))/50</f>
        <v>1600408.54</v>
      </c>
      <c r="U2" s="192">
        <f>INT(VALUE(C23))/100</f>
        <v>588430878.91</v>
      </c>
      <c r="V2" s="192">
        <f>LEN(Skriveni!B9)</f>
        <v>42</v>
      </c>
      <c r="W2" s="192">
        <f>INT(VALUE(C27))/100</f>
        <v>100</v>
      </c>
      <c r="X2" s="192">
        <f>LEN(Skriveni!B11)</f>
        <v>6</v>
      </c>
      <c r="Y2" s="192">
        <f>LEN(Skriveni!B12)</f>
        <v>16</v>
      </c>
      <c r="Z2" s="192">
        <f>INT(VALUE(C35))</f>
        <v>133</v>
      </c>
      <c r="AA2" s="192">
        <f>INT(VALUE(C39))</f>
        <v>1812</v>
      </c>
      <c r="AB2" s="192">
        <f>IF(C41="DA",1,0)</f>
        <v>0</v>
      </c>
      <c r="AC2" s="192">
        <f>IF(C43="DA",1,0)</f>
        <v>1</v>
      </c>
      <c r="AD2" s="192">
        <f>INT(VALUE(C45))</f>
        <v>2</v>
      </c>
      <c r="AE2" s="192">
        <f>INT(VALUE(C47))</f>
        <v>3</v>
      </c>
      <c r="AF2" s="192">
        <f>INT(VALUE(C49))</f>
        <v>11</v>
      </c>
      <c r="AG2" s="192">
        <f>C51*2+E51</f>
        <v>200</v>
      </c>
      <c r="AH2" s="192">
        <f>C53+2*E53+3*C55+4*E55</f>
        <v>3055</v>
      </c>
      <c r="AI2" s="192">
        <f>C57*2+E57</f>
        <v>36</v>
      </c>
      <c r="AJ2" s="192">
        <f>LEN(Skriveni!B43)</f>
        <v>23</v>
      </c>
      <c r="AK2" s="220">
        <f>INT(VALUE(E43))/100</f>
        <v>763945222.36</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41275</v>
      </c>
      <c r="F5" s="402"/>
      <c r="G5" s="146" t="s">
        <v>2278</v>
      </c>
      <c r="H5" s="401">
        <v>41639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2013</v>
      </c>
      <c r="H14" s="450" t="s">
        <v>1010</v>
      </c>
      <c r="I14" s="451"/>
      <c r="J14" s="451"/>
      <c r="K14" s="97"/>
      <c r="L14" s="162"/>
      <c r="M14" s="162"/>
      <c r="N14" s="162"/>
    </row>
    <row r="15" spans="1:14" ht="19.5" customHeight="1">
      <c r="A15" s="452">
        <f>SUM(Skriveni!H2:H392)+SUM(P2:AK2)+SUM(Skriveni!AC2:AC101)</f>
        <v>12987911550.439997</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10000</v>
      </c>
      <c r="D27" s="473"/>
      <c r="E27" s="46"/>
      <c r="F27" s="395" t="s">
        <v>862</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2978</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2979</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133</v>
      </c>
      <c r="D35" s="417" t="str">
        <f>IF(C35&lt;&gt;"",LOOKUP(C35,P29:P584,Q29:Q584),"Nije upisana općina!")</f>
        <v>Zagreb</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21</v>
      </c>
      <c r="D37" s="417" t="str">
        <f>IF(C37&lt;&gt;"",LOOKUP(C37,T29:T49,U29:U49),"")</f>
        <v>GRAD ZAGREB</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445</v>
      </c>
      <c r="D39" s="422" t="str">
        <f>IF(C39&lt;&gt;"",LOOKUP(C39,Djel!A5:A621,Djel!B5:B621),"Djelatnost nije upisana!")</f>
        <v>Ostalo tiskanje </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2980</v>
      </c>
      <c r="D43" s="217" t="s">
        <v>2689</v>
      </c>
      <c r="E43" s="424" t="s">
        <v>2981</v>
      </c>
      <c r="F43" s="425"/>
      <c r="G43" s="46"/>
      <c r="H43" s="124" t="s">
        <v>2980</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3</v>
      </c>
      <c r="D47" s="391" t="str">
        <f>IF(C47&lt;&gt;"",LOOKUP(C47,Sifre!A6:A8,Sifre!B6:B8),"Veličina nije upisana")</f>
        <v>Veliki poduzetnik</v>
      </c>
      <c r="E47" s="392"/>
      <c r="F47" s="392"/>
      <c r="G47" s="392"/>
      <c r="H47" s="124" t="s">
        <v>2980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2980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296</v>
      </c>
      <c r="D53" s="171"/>
      <c r="E53" s="190">
        <v>311</v>
      </c>
      <c r="F53" s="171"/>
      <c r="G53" s="97"/>
      <c r="H53" s="124" t="s">
        <v>2980</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303</v>
      </c>
      <c r="D55" s="171"/>
      <c r="E55" s="191">
        <v>307</v>
      </c>
      <c r="F55" s="171"/>
      <c r="G55" s="97"/>
      <c r="H55" s="124" t="s">
        <v>2980</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2980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2982</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2983</v>
      </c>
      <c r="D67" s="428"/>
      <c r="E67" s="429"/>
      <c r="F67" s="97"/>
      <c r="G67" s="167" t="s">
        <v>1484</v>
      </c>
      <c r="H67" s="427" t="s">
        <v>2984</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2985</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3025</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42" activePane="bottomLeft" state="frozen"/>
      <selection pane="topLeft" activeCell="A1" sqref="A1"/>
      <selection pane="bottomLeft" activeCell="J118" sqref="J11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58843087891; Agencija za komercijalnu djelatnost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138563265</v>
      </c>
      <c r="L11" s="59">
        <f>L12+L19+L29+L38+L42</f>
        <v>133149249</v>
      </c>
    </row>
    <row r="12" spans="1:12" ht="13.5" customHeight="1">
      <c r="A12" s="483" t="s">
        <v>753</v>
      </c>
      <c r="B12" s="484"/>
      <c r="C12" s="484"/>
      <c r="D12" s="484"/>
      <c r="E12" s="484"/>
      <c r="F12" s="484"/>
      <c r="G12" s="484"/>
      <c r="H12" s="485"/>
      <c r="I12" s="4">
        <v>3</v>
      </c>
      <c r="J12" s="8" t="s">
        <v>2986</v>
      </c>
      <c r="K12" s="59">
        <f>SUM(K13:K18)</f>
        <v>9943888</v>
      </c>
      <c r="L12" s="59">
        <f>SUM(L13:L18)</f>
        <v>9659648</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9244534</v>
      </c>
      <c r="L14" s="60">
        <v>8678279</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v>699354</v>
      </c>
      <c r="L17" s="60">
        <v>981369</v>
      </c>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t="s">
        <v>2987</v>
      </c>
      <c r="K19" s="59">
        <f>SUM(K20:K28)</f>
        <v>89773662</v>
      </c>
      <c r="L19" s="59">
        <f>SUM(L20:L28)</f>
        <v>84356534</v>
      </c>
    </row>
    <row r="20" spans="1:12" ht="13.5" customHeight="1">
      <c r="A20" s="477" t="s">
        <v>1436</v>
      </c>
      <c r="B20" s="478"/>
      <c r="C20" s="478"/>
      <c r="D20" s="478"/>
      <c r="E20" s="478"/>
      <c r="F20" s="478"/>
      <c r="G20" s="478"/>
      <c r="H20" s="479"/>
      <c r="I20" s="4">
        <v>11</v>
      </c>
      <c r="J20" s="8"/>
      <c r="K20" s="60">
        <v>2111129</v>
      </c>
      <c r="L20" s="60">
        <v>2111129</v>
      </c>
    </row>
    <row r="21" spans="1:12" ht="13.5" customHeight="1">
      <c r="A21" s="477" t="s">
        <v>186</v>
      </c>
      <c r="B21" s="478"/>
      <c r="C21" s="478"/>
      <c r="D21" s="478"/>
      <c r="E21" s="478"/>
      <c r="F21" s="478"/>
      <c r="G21" s="478"/>
      <c r="H21" s="479"/>
      <c r="I21" s="4">
        <v>12</v>
      </c>
      <c r="J21" s="8"/>
      <c r="K21" s="60">
        <v>33022722</v>
      </c>
      <c r="L21" s="60">
        <v>31792999</v>
      </c>
    </row>
    <row r="22" spans="1:12" ht="13.5" customHeight="1">
      <c r="A22" s="477" t="s">
        <v>1437</v>
      </c>
      <c r="B22" s="478"/>
      <c r="C22" s="478"/>
      <c r="D22" s="478"/>
      <c r="E22" s="478"/>
      <c r="F22" s="478"/>
      <c r="G22" s="478"/>
      <c r="H22" s="479"/>
      <c r="I22" s="4">
        <v>13</v>
      </c>
      <c r="J22" s="8"/>
      <c r="K22" s="60">
        <v>49680938</v>
      </c>
      <c r="L22" s="60">
        <v>49100972</v>
      </c>
    </row>
    <row r="23" spans="1:12" ht="13.5" customHeight="1">
      <c r="A23" s="477" t="s">
        <v>1273</v>
      </c>
      <c r="B23" s="478"/>
      <c r="C23" s="478"/>
      <c r="D23" s="478"/>
      <c r="E23" s="478"/>
      <c r="F23" s="478"/>
      <c r="G23" s="478"/>
      <c r="H23" s="479"/>
      <c r="I23" s="4">
        <v>14</v>
      </c>
      <c r="J23" s="8"/>
      <c r="K23" s="60"/>
      <c r="L23" s="60"/>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v>2317259</v>
      </c>
      <c r="L25" s="60">
        <v>467786</v>
      </c>
    </row>
    <row r="26" spans="1:12" ht="13.5" customHeight="1">
      <c r="A26" s="477" t="s">
        <v>1164</v>
      </c>
      <c r="B26" s="478"/>
      <c r="C26" s="478"/>
      <c r="D26" s="478"/>
      <c r="E26" s="478"/>
      <c r="F26" s="478"/>
      <c r="G26" s="478"/>
      <c r="H26" s="479"/>
      <c r="I26" s="4">
        <v>17</v>
      </c>
      <c r="J26" s="8"/>
      <c r="K26" s="60">
        <v>2103622</v>
      </c>
      <c r="L26" s="60">
        <v>321496</v>
      </c>
    </row>
    <row r="27" spans="1:12" ht="13.5" customHeight="1">
      <c r="A27" s="477" t="s">
        <v>1165</v>
      </c>
      <c r="B27" s="478"/>
      <c r="C27" s="478"/>
      <c r="D27" s="478"/>
      <c r="E27" s="478"/>
      <c r="F27" s="478"/>
      <c r="G27" s="478"/>
      <c r="H27" s="479"/>
      <c r="I27" s="4">
        <v>18</v>
      </c>
      <c r="J27" s="8"/>
      <c r="K27" s="60">
        <v>537992</v>
      </c>
      <c r="L27" s="60">
        <v>562152</v>
      </c>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38845715</v>
      </c>
      <c r="L29" s="59">
        <f>SUM(L30:L37)</f>
        <v>39133067</v>
      </c>
    </row>
    <row r="30" spans="1:12" ht="13.5" customHeight="1">
      <c r="A30" s="477" t="s">
        <v>1167</v>
      </c>
      <c r="B30" s="478"/>
      <c r="C30" s="478"/>
      <c r="D30" s="478"/>
      <c r="E30" s="478"/>
      <c r="F30" s="478"/>
      <c r="G30" s="478"/>
      <c r="H30" s="479"/>
      <c r="I30" s="4">
        <v>21</v>
      </c>
      <c r="J30" s="8" t="s">
        <v>2988</v>
      </c>
      <c r="K30" s="60">
        <v>36796228</v>
      </c>
      <c r="L30" s="60">
        <v>37370688</v>
      </c>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t="s">
        <v>2989</v>
      </c>
      <c r="K35" s="60">
        <v>2049487</v>
      </c>
      <c r="L35" s="60">
        <v>1762379</v>
      </c>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226148428</v>
      </c>
      <c r="L43" s="59">
        <f>L44+L52+L59+L67</f>
        <v>246368032</v>
      </c>
    </row>
    <row r="44" spans="1:12" ht="13.5" customHeight="1">
      <c r="A44" s="483" t="s">
        <v>319</v>
      </c>
      <c r="B44" s="484"/>
      <c r="C44" s="484"/>
      <c r="D44" s="484"/>
      <c r="E44" s="484"/>
      <c r="F44" s="484"/>
      <c r="G44" s="484"/>
      <c r="H44" s="485"/>
      <c r="I44" s="4">
        <v>35</v>
      </c>
      <c r="J44" s="8" t="s">
        <v>2990</v>
      </c>
      <c r="K44" s="59">
        <f>SUM(K45:K51)</f>
        <v>41255134</v>
      </c>
      <c r="L44" s="59">
        <f>SUM(L45:L51)</f>
        <v>32114517</v>
      </c>
    </row>
    <row r="45" spans="1:12" ht="13.5" customHeight="1">
      <c r="A45" s="477" t="s">
        <v>1485</v>
      </c>
      <c r="B45" s="478"/>
      <c r="C45" s="478"/>
      <c r="D45" s="478"/>
      <c r="E45" s="478"/>
      <c r="F45" s="478"/>
      <c r="G45" s="478"/>
      <c r="H45" s="479"/>
      <c r="I45" s="4">
        <v>36</v>
      </c>
      <c r="J45" s="8"/>
      <c r="K45" s="60">
        <v>33850555</v>
      </c>
      <c r="L45" s="60">
        <v>26420896</v>
      </c>
    </row>
    <row r="46" spans="1:12" ht="13.5" customHeight="1">
      <c r="A46" s="477" t="s">
        <v>1486</v>
      </c>
      <c r="B46" s="478"/>
      <c r="C46" s="478"/>
      <c r="D46" s="478"/>
      <c r="E46" s="478"/>
      <c r="F46" s="478"/>
      <c r="G46" s="478"/>
      <c r="H46" s="479"/>
      <c r="I46" s="4">
        <v>37</v>
      </c>
      <c r="J46" s="8"/>
      <c r="K46" s="60">
        <v>4367277</v>
      </c>
      <c r="L46" s="60">
        <v>5110146</v>
      </c>
    </row>
    <row r="47" spans="1:12" ht="13.5" customHeight="1">
      <c r="A47" s="477" t="s">
        <v>304</v>
      </c>
      <c r="B47" s="478"/>
      <c r="C47" s="478"/>
      <c r="D47" s="478"/>
      <c r="E47" s="478"/>
      <c r="F47" s="478"/>
      <c r="G47" s="478"/>
      <c r="H47" s="479"/>
      <c r="I47" s="4">
        <v>38</v>
      </c>
      <c r="J47" s="8"/>
      <c r="K47" s="60">
        <v>710976</v>
      </c>
      <c r="L47" s="60">
        <v>582447</v>
      </c>
    </row>
    <row r="48" spans="1:12" ht="13.5" customHeight="1">
      <c r="A48" s="477" t="s">
        <v>305</v>
      </c>
      <c r="B48" s="478"/>
      <c r="C48" s="478"/>
      <c r="D48" s="478"/>
      <c r="E48" s="478"/>
      <c r="F48" s="478"/>
      <c r="G48" s="478"/>
      <c r="H48" s="479"/>
      <c r="I48" s="4">
        <v>39</v>
      </c>
      <c r="J48" s="8"/>
      <c r="K48" s="60">
        <v>2326326</v>
      </c>
      <c r="L48" s="60">
        <v>1028</v>
      </c>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2991</v>
      </c>
      <c r="K52" s="59">
        <f>SUM(K53:K58)</f>
        <v>62275646</v>
      </c>
      <c r="L52" s="59">
        <f>SUM(L53:L58)</f>
        <v>66307542</v>
      </c>
    </row>
    <row r="53" spans="1:12" ht="13.5" customHeight="1">
      <c r="A53" s="477" t="s">
        <v>2639</v>
      </c>
      <c r="B53" s="478"/>
      <c r="C53" s="478"/>
      <c r="D53" s="478"/>
      <c r="E53" s="478"/>
      <c r="F53" s="478"/>
      <c r="G53" s="478"/>
      <c r="H53" s="479"/>
      <c r="I53" s="4">
        <v>44</v>
      </c>
      <c r="J53" s="8"/>
      <c r="K53" s="60">
        <v>2131631</v>
      </c>
      <c r="L53" s="60">
        <v>15638883</v>
      </c>
    </row>
    <row r="54" spans="1:12" ht="13.5" customHeight="1">
      <c r="A54" s="477" t="s">
        <v>2640</v>
      </c>
      <c r="B54" s="478"/>
      <c r="C54" s="478"/>
      <c r="D54" s="478"/>
      <c r="E54" s="478"/>
      <c r="F54" s="478"/>
      <c r="G54" s="478"/>
      <c r="H54" s="479"/>
      <c r="I54" s="4">
        <v>45</v>
      </c>
      <c r="J54" s="8"/>
      <c r="K54" s="60">
        <v>54309925</v>
      </c>
      <c r="L54" s="60">
        <v>43087369</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413207</v>
      </c>
      <c r="L56" s="60">
        <v>358839</v>
      </c>
    </row>
    <row r="57" spans="1:12" ht="13.5" customHeight="1">
      <c r="A57" s="477" t="s">
        <v>663</v>
      </c>
      <c r="B57" s="478"/>
      <c r="C57" s="478"/>
      <c r="D57" s="478"/>
      <c r="E57" s="478"/>
      <c r="F57" s="478"/>
      <c r="G57" s="478"/>
      <c r="H57" s="479"/>
      <c r="I57" s="4">
        <v>48</v>
      </c>
      <c r="J57" s="8"/>
      <c r="K57" s="60">
        <v>731341</v>
      </c>
      <c r="L57" s="60">
        <v>4325929</v>
      </c>
    </row>
    <row r="58" spans="1:12" ht="13.5" customHeight="1">
      <c r="A58" s="477" t="s">
        <v>664</v>
      </c>
      <c r="B58" s="478"/>
      <c r="C58" s="478"/>
      <c r="D58" s="478"/>
      <c r="E58" s="478"/>
      <c r="F58" s="478"/>
      <c r="G58" s="478"/>
      <c r="H58" s="479"/>
      <c r="I58" s="4">
        <v>49</v>
      </c>
      <c r="J58" s="8"/>
      <c r="K58" s="60">
        <v>4689542</v>
      </c>
      <c r="L58" s="60">
        <v>2896522</v>
      </c>
    </row>
    <row r="59" spans="1:12" ht="13.5" customHeight="1">
      <c r="A59" s="483" t="s">
        <v>321</v>
      </c>
      <c r="B59" s="484"/>
      <c r="C59" s="484"/>
      <c r="D59" s="484"/>
      <c r="E59" s="484"/>
      <c r="F59" s="484"/>
      <c r="G59" s="484"/>
      <c r="H59" s="485"/>
      <c r="I59" s="4">
        <v>50</v>
      </c>
      <c r="J59" s="8" t="s">
        <v>2992</v>
      </c>
      <c r="K59" s="59">
        <f>SUM(K60:K66)</f>
        <v>118138021</v>
      </c>
      <c r="L59" s="59">
        <f>SUM(L60:L66)</f>
        <v>144625558</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v>118000000</v>
      </c>
      <c r="L65" s="60">
        <v>144500000</v>
      </c>
    </row>
    <row r="66" spans="1:12" ht="13.5" customHeight="1">
      <c r="A66" s="477" t="s">
        <v>2109</v>
      </c>
      <c r="B66" s="478"/>
      <c r="C66" s="478"/>
      <c r="D66" s="478"/>
      <c r="E66" s="478"/>
      <c r="F66" s="478"/>
      <c r="G66" s="478"/>
      <c r="H66" s="479"/>
      <c r="I66" s="4">
        <v>57</v>
      </c>
      <c r="J66" s="8"/>
      <c r="K66" s="60">
        <v>138021</v>
      </c>
      <c r="L66" s="60">
        <v>125558</v>
      </c>
    </row>
    <row r="67" spans="1:12" ht="13.5" customHeight="1">
      <c r="A67" s="483" t="s">
        <v>755</v>
      </c>
      <c r="B67" s="484"/>
      <c r="C67" s="484"/>
      <c r="D67" s="484"/>
      <c r="E67" s="484"/>
      <c r="F67" s="484"/>
      <c r="G67" s="484"/>
      <c r="H67" s="485"/>
      <c r="I67" s="4">
        <v>58</v>
      </c>
      <c r="J67" s="8" t="s">
        <v>2993</v>
      </c>
      <c r="K67" s="60">
        <v>4479627</v>
      </c>
      <c r="L67" s="60">
        <v>3320415</v>
      </c>
    </row>
    <row r="68" spans="1:12" ht="13.5" customHeight="1">
      <c r="A68" s="499" t="s">
        <v>2848</v>
      </c>
      <c r="B68" s="500"/>
      <c r="C68" s="500"/>
      <c r="D68" s="500"/>
      <c r="E68" s="500"/>
      <c r="F68" s="500"/>
      <c r="G68" s="500"/>
      <c r="H68" s="501"/>
      <c r="I68" s="4">
        <v>59</v>
      </c>
      <c r="J68" s="8" t="s">
        <v>2994</v>
      </c>
      <c r="K68" s="60">
        <v>602074</v>
      </c>
      <c r="L68" s="60">
        <v>879032</v>
      </c>
    </row>
    <row r="69" spans="1:12" ht="13.5" customHeight="1">
      <c r="A69" s="499" t="s">
        <v>2298</v>
      </c>
      <c r="B69" s="500"/>
      <c r="C69" s="500"/>
      <c r="D69" s="500"/>
      <c r="E69" s="500"/>
      <c r="F69" s="500"/>
      <c r="G69" s="500"/>
      <c r="H69" s="501"/>
      <c r="I69" s="4">
        <v>60</v>
      </c>
      <c r="J69" s="8"/>
      <c r="K69" s="59">
        <f>K10+K11+K43+K68</f>
        <v>365313767</v>
      </c>
      <c r="L69" s="59">
        <f>L10+L11+L43+L68</f>
        <v>380396313</v>
      </c>
    </row>
    <row r="70" spans="1:12" ht="13.5" customHeight="1">
      <c r="A70" s="519" t="s">
        <v>309</v>
      </c>
      <c r="B70" s="520"/>
      <c r="C70" s="520"/>
      <c r="D70" s="520"/>
      <c r="E70" s="520"/>
      <c r="F70" s="520"/>
      <c r="G70" s="520"/>
      <c r="H70" s="521"/>
      <c r="I70" s="5">
        <v>61</v>
      </c>
      <c r="J70" s="9" t="s">
        <v>2995</v>
      </c>
      <c r="K70" s="61">
        <v>4968464</v>
      </c>
      <c r="L70" s="61">
        <v>4115900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2996</v>
      </c>
      <c r="K72" s="79">
        <f>K73+K74+K75+K81+K82+K85+K88</f>
        <v>317253896</v>
      </c>
      <c r="L72" s="79">
        <f>L73+L74+L75+L81+L82+L85+L88</f>
        <v>341074388</v>
      </c>
    </row>
    <row r="73" spans="1:12" ht="13.5" customHeight="1">
      <c r="A73" s="483" t="s">
        <v>2741</v>
      </c>
      <c r="B73" s="484"/>
      <c r="C73" s="484"/>
      <c r="D73" s="484"/>
      <c r="E73" s="484"/>
      <c r="F73" s="484"/>
      <c r="G73" s="484"/>
      <c r="H73" s="485"/>
      <c r="I73" s="4">
        <v>63</v>
      </c>
      <c r="J73" s="8" t="s">
        <v>2997</v>
      </c>
      <c r="K73" s="60">
        <v>200000000</v>
      </c>
      <c r="L73" s="60">
        <v>216000000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t="s">
        <v>2998</v>
      </c>
      <c r="K75" s="59">
        <f>K76+K77-K78+K79+K80</f>
        <v>66152168</v>
      </c>
      <c r="L75" s="59">
        <f>L76+L77-L78+L79+L80</f>
        <v>85058164</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66152168</v>
      </c>
      <c r="L80" s="60">
        <v>85058164</v>
      </c>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0</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51101728</v>
      </c>
      <c r="L85" s="59">
        <f>L86-L87</f>
        <v>40016224</v>
      </c>
    </row>
    <row r="86" spans="1:12" ht="13.5" customHeight="1">
      <c r="A86" s="486" t="s">
        <v>2826</v>
      </c>
      <c r="B86" s="487"/>
      <c r="C86" s="487"/>
      <c r="D86" s="487"/>
      <c r="E86" s="487"/>
      <c r="F86" s="487"/>
      <c r="G86" s="487"/>
      <c r="H86" s="488"/>
      <c r="I86" s="4">
        <v>76</v>
      </c>
      <c r="J86" s="8"/>
      <c r="K86" s="60">
        <v>51101728</v>
      </c>
      <c r="L86" s="60">
        <v>40016224</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t="s">
        <v>2999</v>
      </c>
      <c r="K89" s="59">
        <f>SUM(K90:K92)</f>
        <v>1938264</v>
      </c>
      <c r="L89" s="59">
        <f>SUM(L90:L92)</f>
        <v>5289964</v>
      </c>
    </row>
    <row r="90" spans="1:12" ht="13.5" customHeight="1">
      <c r="A90" s="477" t="s">
        <v>2699</v>
      </c>
      <c r="B90" s="478"/>
      <c r="C90" s="478"/>
      <c r="D90" s="478"/>
      <c r="E90" s="478"/>
      <c r="F90" s="478"/>
      <c r="G90" s="478"/>
      <c r="H90" s="479"/>
      <c r="I90" s="4">
        <v>80</v>
      </c>
      <c r="J90" s="8"/>
      <c r="K90" s="60">
        <v>1288264</v>
      </c>
      <c r="L90" s="60">
        <v>1439964</v>
      </c>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v>650000</v>
      </c>
      <c r="L92" s="60">
        <v>3850000</v>
      </c>
    </row>
    <row r="93" spans="1:12" ht="13.5" customHeight="1">
      <c r="A93" s="499" t="s">
        <v>1266</v>
      </c>
      <c r="B93" s="500"/>
      <c r="C93" s="500"/>
      <c r="D93" s="500"/>
      <c r="E93" s="500"/>
      <c r="F93" s="500"/>
      <c r="G93" s="500"/>
      <c r="H93" s="501"/>
      <c r="I93" s="4">
        <v>83</v>
      </c>
      <c r="J93" s="8"/>
      <c r="K93" s="59">
        <f>SUM(K94:K102)</f>
        <v>4363267</v>
      </c>
      <c r="L93" s="59">
        <f>SUM(L94:L102)</f>
        <v>1408020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t="s">
        <v>3000</v>
      </c>
      <c r="K96" s="60">
        <v>4363267</v>
      </c>
      <c r="L96" s="60">
        <v>1408020</v>
      </c>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t="s">
        <v>3001</v>
      </c>
      <c r="K103" s="59">
        <f>SUM(K104:K115)</f>
        <v>39982310</v>
      </c>
      <c r="L103" s="59">
        <f>SUM(L104:L115)</f>
        <v>30578178</v>
      </c>
    </row>
    <row r="104" spans="1:12" ht="13.5" customHeight="1">
      <c r="A104" s="477" t="s">
        <v>2702</v>
      </c>
      <c r="B104" s="478"/>
      <c r="C104" s="478"/>
      <c r="D104" s="478"/>
      <c r="E104" s="478"/>
      <c r="F104" s="478"/>
      <c r="G104" s="478"/>
      <c r="H104" s="479"/>
      <c r="I104" s="4">
        <v>94</v>
      </c>
      <c r="J104" s="8"/>
      <c r="K104" s="60">
        <v>195735</v>
      </c>
      <c r="L104" s="60">
        <v>3310302</v>
      </c>
    </row>
    <row r="105" spans="1:12" ht="13.5" customHeight="1">
      <c r="A105" s="477" t="s">
        <v>178</v>
      </c>
      <c r="B105" s="478"/>
      <c r="C105" s="478"/>
      <c r="D105" s="478"/>
      <c r="E105" s="478"/>
      <c r="F105" s="478"/>
      <c r="G105" s="478"/>
      <c r="H105" s="479"/>
      <c r="I105" s="4">
        <v>95</v>
      </c>
      <c r="J105" s="8"/>
      <c r="K105" s="60">
        <v>1292614</v>
      </c>
      <c r="L105" s="60"/>
    </row>
    <row r="106" spans="1:12" ht="13.5" customHeight="1">
      <c r="A106" s="477" t="s">
        <v>1524</v>
      </c>
      <c r="B106" s="478"/>
      <c r="C106" s="478"/>
      <c r="D106" s="478"/>
      <c r="E106" s="478"/>
      <c r="F106" s="478"/>
      <c r="G106" s="478"/>
      <c r="H106" s="479"/>
      <c r="I106" s="4">
        <v>96</v>
      </c>
      <c r="J106" s="8"/>
      <c r="K106" s="60">
        <v>2955247</v>
      </c>
      <c r="L106" s="60">
        <v>2979839</v>
      </c>
    </row>
    <row r="107" spans="1:12" ht="13.5" customHeight="1">
      <c r="A107" s="477" t="s">
        <v>179</v>
      </c>
      <c r="B107" s="478"/>
      <c r="C107" s="478"/>
      <c r="D107" s="478"/>
      <c r="E107" s="478"/>
      <c r="F107" s="478"/>
      <c r="G107" s="478"/>
      <c r="H107" s="479"/>
      <c r="I107" s="4">
        <v>97</v>
      </c>
      <c r="J107" s="8"/>
      <c r="K107" s="60">
        <v>152228</v>
      </c>
      <c r="L107" s="60">
        <v>181270</v>
      </c>
    </row>
    <row r="108" spans="1:12" ht="13.5" customHeight="1">
      <c r="A108" s="477" t="s">
        <v>180</v>
      </c>
      <c r="B108" s="478"/>
      <c r="C108" s="478"/>
      <c r="D108" s="478"/>
      <c r="E108" s="478"/>
      <c r="F108" s="478"/>
      <c r="G108" s="478"/>
      <c r="H108" s="479"/>
      <c r="I108" s="4">
        <v>98</v>
      </c>
      <c r="J108" s="8"/>
      <c r="K108" s="60">
        <v>19834023</v>
      </c>
      <c r="L108" s="60">
        <v>8941967</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3094710</v>
      </c>
      <c r="L111" s="60">
        <v>2627219</v>
      </c>
    </row>
    <row r="112" spans="1:12" ht="13.5" customHeight="1">
      <c r="A112" s="477" t="s">
        <v>314</v>
      </c>
      <c r="B112" s="478"/>
      <c r="C112" s="478"/>
      <c r="D112" s="478"/>
      <c r="E112" s="478"/>
      <c r="F112" s="478"/>
      <c r="G112" s="478"/>
      <c r="H112" s="479"/>
      <c r="I112" s="4">
        <v>102</v>
      </c>
      <c r="J112" s="8"/>
      <c r="K112" s="60">
        <v>5000767</v>
      </c>
      <c r="L112" s="60">
        <v>5106787</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7456986</v>
      </c>
      <c r="L115" s="60">
        <v>7430794</v>
      </c>
    </row>
    <row r="116" spans="1:12" ht="13.5" customHeight="1">
      <c r="A116" s="499" t="s">
        <v>1525</v>
      </c>
      <c r="B116" s="500"/>
      <c r="C116" s="500"/>
      <c r="D116" s="500"/>
      <c r="E116" s="500"/>
      <c r="F116" s="500"/>
      <c r="G116" s="500"/>
      <c r="H116" s="501"/>
      <c r="I116" s="4">
        <v>106</v>
      </c>
      <c r="J116" s="8" t="s">
        <v>3002</v>
      </c>
      <c r="K116" s="60">
        <v>1776030</v>
      </c>
      <c r="L116" s="60">
        <v>2045763</v>
      </c>
    </row>
    <row r="117" spans="1:12" ht="13.5" customHeight="1">
      <c r="A117" s="499" t="s">
        <v>1271</v>
      </c>
      <c r="B117" s="500"/>
      <c r="C117" s="500"/>
      <c r="D117" s="500"/>
      <c r="E117" s="500"/>
      <c r="F117" s="500"/>
      <c r="G117" s="500"/>
      <c r="H117" s="501"/>
      <c r="I117" s="4">
        <v>107</v>
      </c>
      <c r="J117" s="8"/>
      <c r="K117" s="59">
        <f>K72+K89+K93+K103+K116</f>
        <v>365313767</v>
      </c>
      <c r="L117" s="59">
        <f>L72+L89+L93+L103+L116</f>
        <v>380396313</v>
      </c>
    </row>
    <row r="118" spans="1:12" ht="13.5" customHeight="1">
      <c r="A118" s="502" t="s">
        <v>2849</v>
      </c>
      <c r="B118" s="503"/>
      <c r="C118" s="503"/>
      <c r="D118" s="503"/>
      <c r="E118" s="503"/>
      <c r="F118" s="503"/>
      <c r="G118" s="503"/>
      <c r="H118" s="504"/>
      <c r="I118" s="5">
        <v>108</v>
      </c>
      <c r="J118" s="8" t="s">
        <v>2995</v>
      </c>
      <c r="K118" s="61">
        <v>4968464</v>
      </c>
      <c r="L118" s="61">
        <v>4115900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8" activePane="bottomLeft" state="frozen"/>
      <selection pane="topLeft" activeCell="A1" sqref="A1"/>
      <selection pane="bottomLeft" activeCell="J69" sqref="J6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58843087891; Agencija za komercijalnu djelatnost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1</v>
      </c>
      <c r="R8" s="207" t="s">
        <v>2817</v>
      </c>
    </row>
    <row r="9" spans="1:12" s="3" customFormat="1" ht="13.5" customHeight="1">
      <c r="A9" s="480" t="s">
        <v>1272</v>
      </c>
      <c r="B9" s="481"/>
      <c r="C9" s="481"/>
      <c r="D9" s="481"/>
      <c r="E9" s="481"/>
      <c r="F9" s="481"/>
      <c r="G9" s="481"/>
      <c r="H9" s="482"/>
      <c r="I9" s="6">
        <v>111</v>
      </c>
      <c r="J9" s="7" t="s">
        <v>3003</v>
      </c>
      <c r="K9" s="79">
        <f>SUM(K10:K11)</f>
        <v>211644766</v>
      </c>
      <c r="L9" s="79">
        <f>SUM(L10:L11)</f>
        <v>225414258</v>
      </c>
    </row>
    <row r="10" spans="1:12" s="3" customFormat="1" ht="13.5" customHeight="1">
      <c r="A10" s="499" t="s">
        <v>1722</v>
      </c>
      <c r="B10" s="500"/>
      <c r="C10" s="500"/>
      <c r="D10" s="500"/>
      <c r="E10" s="500"/>
      <c r="F10" s="500"/>
      <c r="G10" s="500"/>
      <c r="H10" s="501"/>
      <c r="I10" s="4">
        <v>112</v>
      </c>
      <c r="J10" s="8" t="s">
        <v>3004</v>
      </c>
      <c r="K10" s="60">
        <v>201077043</v>
      </c>
      <c r="L10" s="60">
        <v>213153492</v>
      </c>
    </row>
    <row r="11" spans="1:12" s="3" customFormat="1" ht="13.5" customHeight="1">
      <c r="A11" s="499" t="s">
        <v>322</v>
      </c>
      <c r="B11" s="500"/>
      <c r="C11" s="500"/>
      <c r="D11" s="500"/>
      <c r="E11" s="500"/>
      <c r="F11" s="500"/>
      <c r="G11" s="500"/>
      <c r="H11" s="501"/>
      <c r="I11" s="4">
        <v>113</v>
      </c>
      <c r="J11" s="8" t="s">
        <v>3005</v>
      </c>
      <c r="K11" s="60">
        <v>10567723</v>
      </c>
      <c r="L11" s="60">
        <v>12260766</v>
      </c>
    </row>
    <row r="12" spans="1:12" s="3" customFormat="1" ht="13.5" customHeight="1">
      <c r="A12" s="499" t="s">
        <v>669</v>
      </c>
      <c r="B12" s="500"/>
      <c r="C12" s="500"/>
      <c r="D12" s="500"/>
      <c r="E12" s="500"/>
      <c r="F12" s="500"/>
      <c r="G12" s="500"/>
      <c r="H12" s="501"/>
      <c r="I12" s="4">
        <v>114</v>
      </c>
      <c r="J12" s="8" t="s">
        <v>3006</v>
      </c>
      <c r="K12" s="59">
        <f>K13+K14+K18+K22+K23+K24+K27+K28</f>
        <v>178661496</v>
      </c>
      <c r="L12" s="59">
        <f>L13+L14+L18+L22+L23+L24+L27+L28</f>
        <v>184823086</v>
      </c>
    </row>
    <row r="13" spans="1:12" s="3" customFormat="1" ht="15" customHeight="1">
      <c r="A13" s="499" t="s">
        <v>323</v>
      </c>
      <c r="B13" s="500"/>
      <c r="C13" s="500"/>
      <c r="D13" s="500"/>
      <c r="E13" s="500"/>
      <c r="F13" s="500"/>
      <c r="G13" s="500"/>
      <c r="H13" s="501"/>
      <c r="I13" s="4">
        <v>115</v>
      </c>
      <c r="J13" s="8" t="s">
        <v>3007</v>
      </c>
      <c r="K13" s="60">
        <v>-908429</v>
      </c>
      <c r="L13" s="60">
        <v>-3869533</v>
      </c>
    </row>
    <row r="14" spans="1:12" s="3" customFormat="1" ht="13.5" customHeight="1">
      <c r="A14" s="499" t="s">
        <v>1268</v>
      </c>
      <c r="B14" s="500"/>
      <c r="C14" s="500"/>
      <c r="D14" s="500"/>
      <c r="E14" s="500"/>
      <c r="F14" s="500"/>
      <c r="G14" s="500"/>
      <c r="H14" s="501"/>
      <c r="I14" s="4">
        <v>116</v>
      </c>
      <c r="J14" s="8" t="s">
        <v>3008</v>
      </c>
      <c r="K14" s="59">
        <f>SUM(K15:K17)</f>
        <v>85686947</v>
      </c>
      <c r="L14" s="59">
        <f>SUM(L15:L17)</f>
        <v>92532870</v>
      </c>
    </row>
    <row r="15" spans="1:12" s="3" customFormat="1" ht="13.5" customHeight="1">
      <c r="A15" s="477" t="s">
        <v>2463</v>
      </c>
      <c r="B15" s="478"/>
      <c r="C15" s="478"/>
      <c r="D15" s="478"/>
      <c r="E15" s="478"/>
      <c r="F15" s="478"/>
      <c r="G15" s="478"/>
      <c r="H15" s="479"/>
      <c r="I15" s="4">
        <v>117</v>
      </c>
      <c r="J15" s="8" t="s">
        <v>3009</v>
      </c>
      <c r="K15" s="60">
        <v>52381475</v>
      </c>
      <c r="L15" s="60">
        <v>59855188</v>
      </c>
    </row>
    <row r="16" spans="1:12" s="3" customFormat="1" ht="13.5" customHeight="1">
      <c r="A16" s="477" t="s">
        <v>2464</v>
      </c>
      <c r="B16" s="478"/>
      <c r="C16" s="478"/>
      <c r="D16" s="478"/>
      <c r="E16" s="478"/>
      <c r="F16" s="478"/>
      <c r="G16" s="478"/>
      <c r="H16" s="479"/>
      <c r="I16" s="4">
        <v>118</v>
      </c>
      <c r="J16" s="8"/>
      <c r="K16" s="60">
        <v>649975</v>
      </c>
      <c r="L16" s="60">
        <v>5967590</v>
      </c>
    </row>
    <row r="17" spans="1:12" s="3" customFormat="1" ht="13.5" customHeight="1">
      <c r="A17" s="477" t="s">
        <v>2663</v>
      </c>
      <c r="B17" s="478"/>
      <c r="C17" s="478"/>
      <c r="D17" s="478"/>
      <c r="E17" s="478"/>
      <c r="F17" s="478"/>
      <c r="G17" s="478"/>
      <c r="H17" s="479"/>
      <c r="I17" s="4">
        <v>119</v>
      </c>
      <c r="J17" s="8" t="s">
        <v>3010</v>
      </c>
      <c r="K17" s="60">
        <v>32655497</v>
      </c>
      <c r="L17" s="60">
        <v>26710092</v>
      </c>
    </row>
    <row r="18" spans="1:12" s="3" customFormat="1" ht="13.5" customHeight="1">
      <c r="A18" s="499" t="s">
        <v>1269</v>
      </c>
      <c r="B18" s="500"/>
      <c r="C18" s="500"/>
      <c r="D18" s="500"/>
      <c r="E18" s="500"/>
      <c r="F18" s="500"/>
      <c r="G18" s="500"/>
      <c r="H18" s="501"/>
      <c r="I18" s="4">
        <v>120</v>
      </c>
      <c r="J18" s="8" t="s">
        <v>3011</v>
      </c>
      <c r="K18" s="59">
        <f>SUM(K19:K21)</f>
        <v>60538365</v>
      </c>
      <c r="L18" s="59">
        <f>SUM(L19:L21)</f>
        <v>56929750</v>
      </c>
    </row>
    <row r="19" spans="1:12" s="3" customFormat="1" ht="13.5" customHeight="1">
      <c r="A19" s="477" t="s">
        <v>2664</v>
      </c>
      <c r="B19" s="478"/>
      <c r="C19" s="478"/>
      <c r="D19" s="478"/>
      <c r="E19" s="478"/>
      <c r="F19" s="478"/>
      <c r="G19" s="478"/>
      <c r="H19" s="479"/>
      <c r="I19" s="4">
        <v>121</v>
      </c>
      <c r="J19" s="8"/>
      <c r="K19" s="60">
        <v>32728889</v>
      </c>
      <c r="L19" s="60">
        <v>31610166</v>
      </c>
    </row>
    <row r="20" spans="1:12" s="3" customFormat="1" ht="13.5" customHeight="1">
      <c r="A20" s="477" t="s">
        <v>2665</v>
      </c>
      <c r="B20" s="478"/>
      <c r="C20" s="478"/>
      <c r="D20" s="478"/>
      <c r="E20" s="478"/>
      <c r="F20" s="478"/>
      <c r="G20" s="478"/>
      <c r="H20" s="479"/>
      <c r="I20" s="4">
        <v>122</v>
      </c>
      <c r="J20" s="8"/>
      <c r="K20" s="60">
        <v>19530403</v>
      </c>
      <c r="L20" s="60">
        <v>17790990</v>
      </c>
    </row>
    <row r="21" spans="1:12" s="3" customFormat="1" ht="13.5" customHeight="1">
      <c r="A21" s="477" t="s">
        <v>2666</v>
      </c>
      <c r="B21" s="478"/>
      <c r="C21" s="478"/>
      <c r="D21" s="478"/>
      <c r="E21" s="478"/>
      <c r="F21" s="478"/>
      <c r="G21" s="478"/>
      <c r="H21" s="479"/>
      <c r="I21" s="4">
        <v>123</v>
      </c>
      <c r="J21" s="8"/>
      <c r="K21" s="60">
        <v>8279073</v>
      </c>
      <c r="L21" s="60">
        <v>7528594</v>
      </c>
    </row>
    <row r="22" spans="1:12" s="3" customFormat="1" ht="13.5" customHeight="1">
      <c r="A22" s="499" t="s">
        <v>324</v>
      </c>
      <c r="B22" s="500"/>
      <c r="C22" s="500"/>
      <c r="D22" s="500"/>
      <c r="E22" s="500"/>
      <c r="F22" s="500"/>
      <c r="G22" s="500"/>
      <c r="H22" s="501"/>
      <c r="I22" s="4">
        <v>124</v>
      </c>
      <c r="J22" s="8" t="s">
        <v>3012</v>
      </c>
      <c r="K22" s="60">
        <v>19219881</v>
      </c>
      <c r="L22" s="60">
        <v>17909971</v>
      </c>
    </row>
    <row r="23" spans="1:12" s="3" customFormat="1" ht="13.5" customHeight="1">
      <c r="A23" s="499" t="s">
        <v>325</v>
      </c>
      <c r="B23" s="500"/>
      <c r="C23" s="500"/>
      <c r="D23" s="500"/>
      <c r="E23" s="500"/>
      <c r="F23" s="500"/>
      <c r="G23" s="500"/>
      <c r="H23" s="501"/>
      <c r="I23" s="4">
        <v>125</v>
      </c>
      <c r="J23" s="8" t="s">
        <v>3013</v>
      </c>
      <c r="K23" s="60">
        <v>8947024</v>
      </c>
      <c r="L23" s="60">
        <v>7598671</v>
      </c>
    </row>
    <row r="24" spans="1:12" s="3" customFormat="1" ht="13.5" customHeight="1">
      <c r="A24" s="499" t="s">
        <v>1270</v>
      </c>
      <c r="B24" s="500"/>
      <c r="C24" s="500"/>
      <c r="D24" s="500"/>
      <c r="E24" s="500"/>
      <c r="F24" s="500"/>
      <c r="G24" s="500"/>
      <c r="H24" s="501"/>
      <c r="I24" s="4">
        <v>126</v>
      </c>
      <c r="J24" s="8" t="s">
        <v>3014</v>
      </c>
      <c r="K24" s="59">
        <f>SUM(K25:K26)</f>
        <v>2099011</v>
      </c>
      <c r="L24" s="59">
        <f>SUM(L25:L26)</f>
        <v>5414001</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2099011</v>
      </c>
      <c r="L26" s="60">
        <v>5414001</v>
      </c>
    </row>
    <row r="27" spans="1:12" s="3" customFormat="1" ht="13.5" customHeight="1">
      <c r="A27" s="499" t="s">
        <v>326</v>
      </c>
      <c r="B27" s="500"/>
      <c r="C27" s="500"/>
      <c r="D27" s="500"/>
      <c r="E27" s="500"/>
      <c r="F27" s="500"/>
      <c r="G27" s="500"/>
      <c r="H27" s="501"/>
      <c r="I27" s="4">
        <v>129</v>
      </c>
      <c r="J27" s="8" t="s">
        <v>3015</v>
      </c>
      <c r="K27" s="60">
        <v>2205020</v>
      </c>
      <c r="L27" s="60">
        <v>5529463</v>
      </c>
    </row>
    <row r="28" spans="1:12" s="3" customFormat="1" ht="13.5" customHeight="1">
      <c r="A28" s="499" t="s">
        <v>1079</v>
      </c>
      <c r="B28" s="500"/>
      <c r="C28" s="500"/>
      <c r="D28" s="500"/>
      <c r="E28" s="500"/>
      <c r="F28" s="500"/>
      <c r="G28" s="500"/>
      <c r="H28" s="501"/>
      <c r="I28" s="4">
        <v>130</v>
      </c>
      <c r="J28" s="8" t="s">
        <v>3016</v>
      </c>
      <c r="K28" s="60">
        <v>873677</v>
      </c>
      <c r="L28" s="60">
        <v>2777893</v>
      </c>
    </row>
    <row r="29" spans="1:12" s="3" customFormat="1" ht="13.5" customHeight="1">
      <c r="A29" s="499" t="s">
        <v>53</v>
      </c>
      <c r="B29" s="500"/>
      <c r="C29" s="500"/>
      <c r="D29" s="500"/>
      <c r="E29" s="500"/>
      <c r="F29" s="500"/>
      <c r="G29" s="500"/>
      <c r="H29" s="501"/>
      <c r="I29" s="4">
        <v>131</v>
      </c>
      <c r="J29" s="8" t="s">
        <v>3017</v>
      </c>
      <c r="K29" s="59">
        <f>SUM(K30:K34)</f>
        <v>24650903</v>
      </c>
      <c r="L29" s="59">
        <f>SUM(L30:L34)</f>
        <v>6844541</v>
      </c>
    </row>
    <row r="30" spans="1:12" s="3" customFormat="1" ht="27.75" customHeight="1">
      <c r="A30" s="499" t="s">
        <v>82</v>
      </c>
      <c r="B30" s="500"/>
      <c r="C30" s="500"/>
      <c r="D30" s="500"/>
      <c r="E30" s="500"/>
      <c r="F30" s="500"/>
      <c r="G30" s="500"/>
      <c r="H30" s="501"/>
      <c r="I30" s="4">
        <v>132</v>
      </c>
      <c r="J30" s="8"/>
      <c r="K30" s="60">
        <v>149918</v>
      </c>
      <c r="L30" s="60">
        <v>3164</v>
      </c>
    </row>
    <row r="31" spans="1:12" s="3" customFormat="1" ht="27.75" customHeight="1">
      <c r="A31" s="499" t="s">
        <v>215</v>
      </c>
      <c r="B31" s="500"/>
      <c r="C31" s="500"/>
      <c r="D31" s="500"/>
      <c r="E31" s="500"/>
      <c r="F31" s="500"/>
      <c r="G31" s="500"/>
      <c r="H31" s="501"/>
      <c r="I31" s="4">
        <v>133</v>
      </c>
      <c r="J31" s="8"/>
      <c r="K31" s="60">
        <v>5594988</v>
      </c>
      <c r="L31" s="60">
        <v>6267377</v>
      </c>
    </row>
    <row r="32" spans="1:12" s="3" customFormat="1" ht="13.5" customHeight="1">
      <c r="A32" s="499" t="s">
        <v>242</v>
      </c>
      <c r="B32" s="500"/>
      <c r="C32" s="500"/>
      <c r="D32" s="500"/>
      <c r="E32" s="500"/>
      <c r="F32" s="500"/>
      <c r="G32" s="500"/>
      <c r="H32" s="501"/>
      <c r="I32" s="4">
        <v>134</v>
      </c>
      <c r="J32" s="8"/>
      <c r="K32" s="60">
        <v>18905997</v>
      </c>
      <c r="L32" s="60">
        <v>574000</v>
      </c>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t="s">
        <v>3018</v>
      </c>
      <c r="K35" s="59">
        <f>SUM(K36:K39)</f>
        <v>1089130</v>
      </c>
      <c r="L35" s="59">
        <f>SUM(L36:L39)</f>
        <v>978406</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1089130</v>
      </c>
      <c r="L37" s="60">
        <v>978406</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236295669</v>
      </c>
      <c r="L44" s="59">
        <f>L9+L29+L40+L42</f>
        <v>232258799</v>
      </c>
    </row>
    <row r="45" spans="1:12" s="3" customFormat="1" ht="13.5" customHeight="1">
      <c r="A45" s="499" t="s">
        <v>56</v>
      </c>
      <c r="B45" s="500"/>
      <c r="C45" s="500"/>
      <c r="D45" s="500"/>
      <c r="E45" s="500"/>
      <c r="F45" s="500"/>
      <c r="G45" s="500"/>
      <c r="H45" s="501"/>
      <c r="I45" s="4">
        <v>147</v>
      </c>
      <c r="J45" s="8"/>
      <c r="K45" s="59">
        <f>K12+K35+K41+K43</f>
        <v>179750626</v>
      </c>
      <c r="L45" s="59">
        <f>L12+L35+L41+L43</f>
        <v>185801492</v>
      </c>
    </row>
    <row r="46" spans="1:12" s="3" customFormat="1" ht="13.5" customHeight="1">
      <c r="A46" s="499" t="s">
        <v>1825</v>
      </c>
      <c r="B46" s="500"/>
      <c r="C46" s="500"/>
      <c r="D46" s="500"/>
      <c r="E46" s="500"/>
      <c r="F46" s="500"/>
      <c r="G46" s="500"/>
      <c r="H46" s="501"/>
      <c r="I46" s="4">
        <v>148</v>
      </c>
      <c r="J46" s="8"/>
      <c r="K46" s="59">
        <f>K44-K45</f>
        <v>56545043</v>
      </c>
      <c r="L46" s="59">
        <f>L44-L45</f>
        <v>46457307</v>
      </c>
    </row>
    <row r="47" spans="1:12" s="3" customFormat="1" ht="13.5" customHeight="1">
      <c r="A47" s="486" t="s">
        <v>58</v>
      </c>
      <c r="B47" s="487"/>
      <c r="C47" s="487"/>
      <c r="D47" s="487"/>
      <c r="E47" s="487"/>
      <c r="F47" s="487"/>
      <c r="G47" s="487"/>
      <c r="H47" s="488"/>
      <c r="I47" s="4">
        <v>149</v>
      </c>
      <c r="J47" s="8"/>
      <c r="K47" s="59">
        <f>IF(K44&gt;K45,K44-K45,0)</f>
        <v>56545043</v>
      </c>
      <c r="L47" s="59">
        <f>IF(L44&gt;L45,L44-L45,0)</f>
        <v>46457307</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t="s">
        <v>3019</v>
      </c>
      <c r="K49" s="60">
        <v>5443315</v>
      </c>
      <c r="L49" s="60">
        <v>6441083</v>
      </c>
    </row>
    <row r="50" spans="1:12" s="3" customFormat="1" ht="13.5" customHeight="1">
      <c r="A50" s="499" t="s">
        <v>1826</v>
      </c>
      <c r="B50" s="500"/>
      <c r="C50" s="500"/>
      <c r="D50" s="500"/>
      <c r="E50" s="500"/>
      <c r="F50" s="500"/>
      <c r="G50" s="500"/>
      <c r="H50" s="501"/>
      <c r="I50" s="4">
        <v>152</v>
      </c>
      <c r="J50" s="8"/>
      <c r="K50" s="59">
        <f>K46-K49</f>
        <v>51101728</v>
      </c>
      <c r="L50" s="59">
        <f>L46-L49</f>
        <v>40016224</v>
      </c>
    </row>
    <row r="51" spans="1:12" s="3" customFormat="1" ht="13.5" customHeight="1">
      <c r="A51" s="486" t="s">
        <v>1021</v>
      </c>
      <c r="B51" s="487"/>
      <c r="C51" s="487"/>
      <c r="D51" s="487"/>
      <c r="E51" s="487"/>
      <c r="F51" s="487"/>
      <c r="G51" s="487"/>
      <c r="H51" s="488"/>
      <c r="I51" s="4">
        <v>153</v>
      </c>
      <c r="J51" s="8"/>
      <c r="K51" s="59">
        <f>IF(K50&gt;0,K50,0)</f>
        <v>51101728</v>
      </c>
      <c r="L51" s="59">
        <f>IF(L50&gt;0,L50,0)</f>
        <v>40016224</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t="s">
        <v>3019</v>
      </c>
      <c r="K58" s="58">
        <v>51101728</v>
      </c>
      <c r="L58" s="58">
        <v>40016224</v>
      </c>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t="s">
        <v>3019</v>
      </c>
      <c r="K69" s="71">
        <f>K58+K68</f>
        <v>51101728</v>
      </c>
      <c r="L69" s="71">
        <f>L58+L68</f>
        <v>40016224</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01.01.2013. do 31.12.2013.</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58843087891; Agencija za komercijalnu djelatnost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15" activePane="bottomLeft" state="frozen"/>
      <selection pane="topLeft" activeCell="A1" sqref="A1"/>
      <selection pane="bottomLeft" activeCell="J33" sqref="J3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58843087891; Agencija za komercijalnu djelatnost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t="s">
        <v>3019</v>
      </c>
      <c r="K10" s="53">
        <v>56545043</v>
      </c>
      <c r="L10" s="60">
        <v>46457307</v>
      </c>
    </row>
    <row r="11" spans="1:12" s="3" customFormat="1" ht="13.5" customHeight="1">
      <c r="A11" s="477" t="s">
        <v>2478</v>
      </c>
      <c r="B11" s="478"/>
      <c r="C11" s="478"/>
      <c r="D11" s="478"/>
      <c r="E11" s="478"/>
      <c r="F11" s="478"/>
      <c r="G11" s="478"/>
      <c r="H11" s="478"/>
      <c r="I11" s="4">
        <v>2</v>
      </c>
      <c r="J11" s="139" t="s">
        <v>3012</v>
      </c>
      <c r="K11" s="53">
        <v>19219881</v>
      </c>
      <c r="L11" s="60">
        <v>17909971</v>
      </c>
    </row>
    <row r="12" spans="1:12" s="3" customFormat="1" ht="13.5" customHeight="1">
      <c r="A12" s="477" t="s">
        <v>2479</v>
      </c>
      <c r="B12" s="478"/>
      <c r="C12" s="478"/>
      <c r="D12" s="478"/>
      <c r="E12" s="478"/>
      <c r="F12" s="478"/>
      <c r="G12" s="478"/>
      <c r="H12" s="478"/>
      <c r="I12" s="4">
        <v>3</v>
      </c>
      <c r="J12" s="139"/>
      <c r="K12" s="53">
        <v>5418729</v>
      </c>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t="s">
        <v>2990</v>
      </c>
      <c r="K14" s="53">
        <v>8768272</v>
      </c>
      <c r="L14" s="60">
        <v>9140617</v>
      </c>
    </row>
    <row r="15" spans="1:12" s="3" customFormat="1" ht="13.5" customHeight="1">
      <c r="A15" s="477" t="s">
        <v>2532</v>
      </c>
      <c r="B15" s="478"/>
      <c r="C15" s="478"/>
      <c r="D15" s="478"/>
      <c r="E15" s="478"/>
      <c r="F15" s="478"/>
      <c r="G15" s="478"/>
      <c r="H15" s="478"/>
      <c r="I15" s="4">
        <v>6</v>
      </c>
      <c r="J15" s="139" t="s">
        <v>3022</v>
      </c>
      <c r="K15" s="53">
        <v>7912641</v>
      </c>
      <c r="L15" s="60">
        <v>15589640</v>
      </c>
    </row>
    <row r="16" spans="1:12" s="3" customFormat="1" ht="13.5" customHeight="1">
      <c r="A16" s="499" t="s">
        <v>218</v>
      </c>
      <c r="B16" s="500"/>
      <c r="C16" s="500"/>
      <c r="D16" s="500"/>
      <c r="E16" s="500"/>
      <c r="F16" s="500"/>
      <c r="G16" s="500"/>
      <c r="H16" s="500"/>
      <c r="I16" s="4">
        <v>7</v>
      </c>
      <c r="J16" s="139"/>
      <c r="K16" s="54">
        <f>SUM(K10:K15)</f>
        <v>97864566</v>
      </c>
      <c r="L16" s="59">
        <f>SUM(L10:L15)</f>
        <v>89097535</v>
      </c>
    </row>
    <row r="17" spans="1:12" s="3" customFormat="1" ht="13.5" customHeight="1">
      <c r="A17" s="477" t="s">
        <v>2533</v>
      </c>
      <c r="B17" s="478"/>
      <c r="C17" s="478"/>
      <c r="D17" s="478"/>
      <c r="E17" s="478"/>
      <c r="F17" s="478"/>
      <c r="G17" s="478"/>
      <c r="H17" s="478"/>
      <c r="I17" s="4">
        <v>8</v>
      </c>
      <c r="J17" s="139" t="s">
        <v>3021</v>
      </c>
      <c r="K17" s="53"/>
      <c r="L17" s="60">
        <v>7866377</v>
      </c>
    </row>
    <row r="18" spans="1:12" s="3" customFormat="1" ht="13.5" customHeight="1">
      <c r="A18" s="477" t="s">
        <v>2534</v>
      </c>
      <c r="B18" s="478"/>
      <c r="C18" s="478"/>
      <c r="D18" s="478"/>
      <c r="E18" s="478"/>
      <c r="F18" s="478"/>
      <c r="G18" s="478"/>
      <c r="H18" s="478"/>
      <c r="I18" s="4">
        <v>9</v>
      </c>
      <c r="J18" s="139" t="s">
        <v>2991</v>
      </c>
      <c r="K18" s="53">
        <v>12809084</v>
      </c>
      <c r="L18" s="60">
        <v>4031896</v>
      </c>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t="s">
        <v>3023</v>
      </c>
      <c r="K20" s="53">
        <v>36786392</v>
      </c>
      <c r="L20" s="60">
        <v>18411509</v>
      </c>
    </row>
    <row r="21" spans="1:12" s="3" customFormat="1" ht="13.5" customHeight="1">
      <c r="A21" s="499" t="s">
        <v>219</v>
      </c>
      <c r="B21" s="500"/>
      <c r="C21" s="500"/>
      <c r="D21" s="500"/>
      <c r="E21" s="500"/>
      <c r="F21" s="500"/>
      <c r="G21" s="500"/>
      <c r="H21" s="500"/>
      <c r="I21" s="4">
        <v>12</v>
      </c>
      <c r="J21" s="139"/>
      <c r="K21" s="54">
        <f>SUM(K17:K20)</f>
        <v>49595476</v>
      </c>
      <c r="L21" s="59">
        <f>SUM(L17:L20)</f>
        <v>30309782</v>
      </c>
    </row>
    <row r="22" spans="1:12" s="3" customFormat="1" ht="24.75" customHeight="1">
      <c r="A22" s="499" t="s">
        <v>2473</v>
      </c>
      <c r="B22" s="500"/>
      <c r="C22" s="500"/>
      <c r="D22" s="500"/>
      <c r="E22" s="500"/>
      <c r="F22" s="500"/>
      <c r="G22" s="500"/>
      <c r="H22" s="500"/>
      <c r="I22" s="4">
        <v>13</v>
      </c>
      <c r="J22" s="139"/>
      <c r="K22" s="54">
        <f>IF(K16&gt;K21,K16-K21,0)</f>
        <v>48269090</v>
      </c>
      <c r="L22" s="59">
        <f>IF(L16&gt;L21,L16-L21,0)</f>
        <v>58787753</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t="s">
        <v>2987</v>
      </c>
      <c r="K29" s="53">
        <v>874765</v>
      </c>
      <c r="L29" s="60">
        <v>287108</v>
      </c>
    </row>
    <row r="30" spans="1:12" s="3" customFormat="1" ht="13.5" customHeight="1">
      <c r="A30" s="499" t="s">
        <v>377</v>
      </c>
      <c r="B30" s="500"/>
      <c r="C30" s="500"/>
      <c r="D30" s="500"/>
      <c r="E30" s="500"/>
      <c r="F30" s="500"/>
      <c r="G30" s="500"/>
      <c r="H30" s="500"/>
      <c r="I30" s="4">
        <v>20</v>
      </c>
      <c r="J30" s="139"/>
      <c r="K30" s="54">
        <f>SUM(K25:K29)</f>
        <v>874765</v>
      </c>
      <c r="L30" s="59">
        <f>SUM(L25:L29)</f>
        <v>287108</v>
      </c>
    </row>
    <row r="31" spans="1:12" s="3" customFormat="1" ht="13.5" customHeight="1">
      <c r="A31" s="477" t="s">
        <v>2619</v>
      </c>
      <c r="B31" s="478"/>
      <c r="C31" s="478"/>
      <c r="D31" s="478"/>
      <c r="E31" s="478"/>
      <c r="F31" s="478"/>
      <c r="G31" s="478"/>
      <c r="H31" s="478"/>
      <c r="I31" s="4">
        <v>21</v>
      </c>
      <c r="J31" s="139" t="s">
        <v>3020</v>
      </c>
      <c r="K31" s="53">
        <v>15003931</v>
      </c>
      <c r="L31" s="60">
        <v>13327535</v>
      </c>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t="s">
        <v>3024</v>
      </c>
      <c r="K33" s="53">
        <v>18003694</v>
      </c>
      <c r="L33" s="60">
        <v>26487537</v>
      </c>
    </row>
    <row r="34" spans="1:12" s="3" customFormat="1" ht="13.5" customHeight="1">
      <c r="A34" s="499" t="s">
        <v>1562</v>
      </c>
      <c r="B34" s="500"/>
      <c r="C34" s="500"/>
      <c r="D34" s="500"/>
      <c r="E34" s="500"/>
      <c r="F34" s="500"/>
      <c r="G34" s="500"/>
      <c r="H34" s="500"/>
      <c r="I34" s="4">
        <v>24</v>
      </c>
      <c r="J34" s="139"/>
      <c r="K34" s="54">
        <f>SUM(K31:K33)</f>
        <v>33007625</v>
      </c>
      <c r="L34" s="59">
        <f>SUM(L31:L33)</f>
        <v>39815072</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32132860</v>
      </c>
      <c r="L36" s="59">
        <f>IF(L34&gt;L30,L34-L30,0)</f>
        <v>39527964</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t="s">
        <v>3000</v>
      </c>
      <c r="K42" s="53">
        <v>7078377</v>
      </c>
      <c r="L42" s="60">
        <v>4223269</v>
      </c>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v>9419971</v>
      </c>
      <c r="L46" s="60">
        <v>16195732</v>
      </c>
    </row>
    <row r="47" spans="1:12" s="3" customFormat="1" ht="13.5" customHeight="1">
      <c r="A47" s="499" t="s">
        <v>2216</v>
      </c>
      <c r="B47" s="500"/>
      <c r="C47" s="500"/>
      <c r="D47" s="500"/>
      <c r="E47" s="500"/>
      <c r="F47" s="500"/>
      <c r="G47" s="500"/>
      <c r="H47" s="500"/>
      <c r="I47" s="4">
        <v>36</v>
      </c>
      <c r="J47" s="139"/>
      <c r="K47" s="54">
        <f>SUM(K42:K46)</f>
        <v>16498348</v>
      </c>
      <c r="L47" s="59">
        <f>SUM(L42:L46)</f>
        <v>20419001</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16498348</v>
      </c>
      <c r="L49" s="59">
        <f>IF(L47&gt;L41,L47-L41,0)</f>
        <v>20419001</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362118</v>
      </c>
      <c r="L51" s="59">
        <f>IF(L23-L22+L36-L35+L49-L48&gt;0,L23-L22+L36-L35+L49-L48,0)</f>
        <v>1159212</v>
      </c>
    </row>
    <row r="52" spans="1:12" s="3" customFormat="1" ht="13.5" customHeight="1">
      <c r="A52" s="477" t="s">
        <v>222</v>
      </c>
      <c r="B52" s="478"/>
      <c r="C52" s="478"/>
      <c r="D52" s="478"/>
      <c r="E52" s="478"/>
      <c r="F52" s="478"/>
      <c r="G52" s="478"/>
      <c r="H52" s="478"/>
      <c r="I52" s="4">
        <v>41</v>
      </c>
      <c r="J52" s="139"/>
      <c r="K52" s="53">
        <v>4841745</v>
      </c>
      <c r="L52" s="60">
        <v>4479627</v>
      </c>
    </row>
    <row r="53" spans="1:12" s="3" customFormat="1" ht="13.5" customHeight="1">
      <c r="A53" s="477" t="s">
        <v>943</v>
      </c>
      <c r="B53" s="478"/>
      <c r="C53" s="478"/>
      <c r="D53" s="478"/>
      <c r="E53" s="478"/>
      <c r="F53" s="478"/>
      <c r="G53" s="478"/>
      <c r="H53" s="478"/>
      <c r="I53" s="4">
        <v>42</v>
      </c>
      <c r="J53" s="139"/>
      <c r="K53" s="53">
        <v>48269090</v>
      </c>
      <c r="L53" s="60">
        <v>58787753</v>
      </c>
    </row>
    <row r="54" spans="1:12" s="3" customFormat="1" ht="13.5" customHeight="1">
      <c r="A54" s="477" t="s">
        <v>944</v>
      </c>
      <c r="B54" s="478"/>
      <c r="C54" s="478"/>
      <c r="D54" s="478"/>
      <c r="E54" s="478"/>
      <c r="F54" s="478"/>
      <c r="G54" s="478"/>
      <c r="H54" s="478"/>
      <c r="I54" s="4">
        <v>43</v>
      </c>
      <c r="J54" s="139"/>
      <c r="K54" s="53">
        <v>48631208</v>
      </c>
      <c r="L54" s="60">
        <v>59946965</v>
      </c>
    </row>
    <row r="55" spans="1:12" s="3" customFormat="1" ht="13.5" customHeight="1">
      <c r="A55" s="588" t="s">
        <v>945</v>
      </c>
      <c r="B55" s="589"/>
      <c r="C55" s="589"/>
      <c r="D55" s="589"/>
      <c r="E55" s="589"/>
      <c r="F55" s="589"/>
      <c r="G55" s="589"/>
      <c r="H55" s="589"/>
      <c r="I55" s="15">
        <v>44</v>
      </c>
      <c r="J55" s="140" t="s">
        <v>2993</v>
      </c>
      <c r="K55" s="55">
        <f>K52+K53-K54</f>
        <v>4479627</v>
      </c>
      <c r="L55" s="71">
        <f>L52+L53-L54</f>
        <v>3320415</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58843087891; Agencija za komercijalnu djelatnost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2014-01-24T08:56:05Z</cp:lastPrinted>
  <dcterms:created xsi:type="dcterms:W3CDTF">2008-10-17T11:51:54Z</dcterms:created>
  <dcterms:modified xsi:type="dcterms:W3CDTF">2014-06-23T13:00:21Z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